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drawings/drawing12.xml" ContentType="application/vnd.openxmlformats-officedocument.drawing+xml"/>
  <Override PartName="/xl/comments13.xml" ContentType="application/vnd.openxmlformats-officedocument.spreadsheetml.comments+xml"/>
  <Override PartName="/xl/drawings/drawing13.xml" ContentType="application/vnd.openxmlformats-officedocument.drawing+xml"/>
  <Override PartName="/xl/comments14.xml" ContentType="application/vnd.openxmlformats-officedocument.spreadsheetml.comments+xml"/>
  <Override PartName="/xl/drawings/drawing14.xml" ContentType="application/vnd.openxmlformats-officedocument.drawing+xml"/>
  <Override PartName="/xl/comments15.xml" ContentType="application/vnd.openxmlformats-officedocument.spreadsheetml.comments+xml"/>
  <Override PartName="/xl/drawings/drawing15.xml" ContentType="application/vnd.openxmlformats-officedocument.drawing+xml"/>
  <Override PartName="/xl/comments16.xml" ContentType="application/vnd.openxmlformats-officedocument.spreadsheetml.comments+xml"/>
  <Override PartName="/xl/drawings/drawing16.xml" ContentType="application/vnd.openxmlformats-officedocument.drawing+xml"/>
  <Override PartName="/xl/comments17.xml" ContentType="application/vnd.openxmlformats-officedocument.spreadsheetml.comments+xml"/>
  <Override PartName="/xl/drawings/drawing17.xml" ContentType="application/vnd.openxmlformats-officedocument.drawing+xml"/>
  <Override PartName="/xl/comments18.xml" ContentType="application/vnd.openxmlformats-officedocument.spreadsheetml.comments+xml"/>
  <Override PartName="/xl/drawings/drawing18.xml" ContentType="application/vnd.openxmlformats-officedocument.drawing+xml"/>
  <Override PartName="/xl/comments19.xml" ContentType="application/vnd.openxmlformats-officedocument.spreadsheetml.comments+xml"/>
  <Override PartName="/xl/drawings/drawing19.xml" ContentType="application/vnd.openxmlformats-officedocument.drawing+xml"/>
  <Override PartName="/xl/comments20.xml" ContentType="application/vnd.openxmlformats-officedocument.spreadsheetml.comments+xml"/>
  <Override PartName="/xl/drawings/drawing20.xml" ContentType="application/vnd.openxmlformats-officedocument.drawing+xml"/>
  <Override PartName="/xl/comments21.xml" ContentType="application/vnd.openxmlformats-officedocument.spreadsheetml.comments+xml"/>
  <Override PartName="/xl/drawings/drawing21.xml" ContentType="application/vnd.openxmlformats-officedocument.drawing+xml"/>
  <Override PartName="/xl/comments22.xml" ContentType="application/vnd.openxmlformats-officedocument.spreadsheetml.comments+xml"/>
  <Override PartName="/xl/drawings/drawing22.xml" ContentType="application/vnd.openxmlformats-officedocument.drawing+xml"/>
  <Override PartName="/xl/comments23.xml" ContentType="application/vnd.openxmlformats-officedocument.spreadsheetml.comments+xml"/>
  <Override PartName="/xl/drawings/drawing23.xml" ContentType="application/vnd.openxmlformats-officedocument.drawing+xml"/>
  <Override PartName="/xl/comments24.xml" ContentType="application/vnd.openxmlformats-officedocument.spreadsheetml.comments+xml"/>
  <Override PartName="/xl/drawings/drawing24.xml" ContentType="application/vnd.openxmlformats-officedocument.drawing+xml"/>
  <Override PartName="/xl/comments25.xml" ContentType="application/vnd.openxmlformats-officedocument.spreadsheetml.comments+xml"/>
  <Override PartName="/xl/drawings/drawing25.xml" ContentType="application/vnd.openxmlformats-officedocument.drawing+xml"/>
  <Override PartName="/xl/comments26.xml" ContentType="application/vnd.openxmlformats-officedocument.spreadsheetml.comments+xml"/>
  <Override PartName="/xl/drawings/drawing26.xml" ContentType="application/vnd.openxmlformats-officedocument.drawing+xml"/>
  <Override PartName="/xl/comments2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d:\Users\lubbe\Documents\Instrumenten\toolbox 2018\basisschool\"/>
    </mc:Choice>
  </mc:AlternateContent>
  <bookViews>
    <workbookView xWindow="0" yWindow="0" windowWidth="19200" windowHeight="11595" tabRatio="898"/>
  </bookViews>
  <sheets>
    <sheet name="toel" sheetId="81" r:id="rId1"/>
    <sheet name="tot" sheetId="1" r:id="rId2"/>
    <sheet name="bestuur" sheetId="61" r:id="rId3"/>
    <sheet name="16-17" sheetId="85" state="hidden" r:id="rId4"/>
    <sheet name="tabpers" sheetId="35" r:id="rId5"/>
    <sheet name="tabmat" sheetId="60" r:id="rId6"/>
    <sheet name="1" sheetId="3" r:id="rId7"/>
    <sheet name="2" sheetId="36" r:id="rId8"/>
    <sheet name="3" sheetId="37" r:id="rId9"/>
    <sheet name="4" sheetId="38" r:id="rId10"/>
    <sheet name="5" sheetId="39" r:id="rId11"/>
    <sheet name="6" sheetId="40" r:id="rId12"/>
    <sheet name="7" sheetId="41" r:id="rId13"/>
    <sheet name="8" sheetId="42" r:id="rId14"/>
    <sheet name="9" sheetId="44" r:id="rId15"/>
    <sheet name="10" sheetId="43" r:id="rId16"/>
    <sheet name="11" sheetId="50" r:id="rId17"/>
    <sheet name="12" sheetId="49" r:id="rId18"/>
    <sheet name="13" sheetId="48" r:id="rId19"/>
    <sheet name="14" sheetId="47" r:id="rId20"/>
    <sheet name="15" sheetId="46" r:id="rId21"/>
    <sheet name="16" sheetId="45" r:id="rId22"/>
    <sheet name="17" sheetId="63" r:id="rId23"/>
    <sheet name="18" sheetId="69" r:id="rId24"/>
    <sheet name="19" sheetId="70" r:id="rId25"/>
    <sheet name="20" sheetId="71" r:id="rId26"/>
    <sheet name="21" sheetId="72" r:id="rId27"/>
    <sheet name="22" sheetId="73" r:id="rId28"/>
    <sheet name="23" sheetId="74" r:id="rId29"/>
    <sheet name="24" sheetId="75" r:id="rId30"/>
    <sheet name="25" sheetId="76" r:id="rId31"/>
    <sheet name="Module1" sheetId="34" state="veryHidden" r:id="rId32"/>
  </sheets>
  <definedNames>
    <definedName name="_xlnm.Print_Area" localSheetId="6">'1'!$B$2:$N$277</definedName>
    <definedName name="_xlnm.Print_Area" localSheetId="15">'10'!$B$2:$N$277</definedName>
    <definedName name="_xlnm.Print_Area" localSheetId="16">'11'!$B$2:$N$277</definedName>
    <definedName name="_xlnm.Print_Area" localSheetId="17">'12'!$B$2:$N$277</definedName>
    <definedName name="_xlnm.Print_Area" localSheetId="18">'13'!$B$2:$N$277</definedName>
    <definedName name="_xlnm.Print_Area" localSheetId="19">'14'!$B$2:$N$277</definedName>
    <definedName name="_xlnm.Print_Area" localSheetId="20">'15'!$B$2:$N$277</definedName>
    <definedName name="_xlnm.Print_Area" localSheetId="21">'16'!$B$2:$N$277</definedName>
    <definedName name="_xlnm.Print_Area" localSheetId="3">'16-17'!$B$2:$AG$75,'16-17'!#REF!</definedName>
    <definedName name="_xlnm.Print_Area" localSheetId="22">'17'!$B$2:$N$277</definedName>
    <definedName name="_xlnm.Print_Area" localSheetId="23">'18'!$B$2:$N$277</definedName>
    <definedName name="_xlnm.Print_Area" localSheetId="24">'19'!$B$2:$N$277</definedName>
    <definedName name="_xlnm.Print_Area" localSheetId="7">'2'!$B$2:$N$277</definedName>
    <definedName name="_xlnm.Print_Area" localSheetId="25">'20'!$B$2:$N$277</definedName>
    <definedName name="_xlnm.Print_Area" localSheetId="26">'21'!$B$2:$N$277</definedName>
    <definedName name="_xlnm.Print_Area" localSheetId="27">'22'!$B$2:$N$277</definedName>
    <definedName name="_xlnm.Print_Area" localSheetId="28">'23'!$B$2:$N$277</definedName>
    <definedName name="_xlnm.Print_Area" localSheetId="29">'24'!$B$2:$N$277</definedName>
    <definedName name="_xlnm.Print_Area" localSheetId="30">'25'!$B$2:$N$277</definedName>
    <definedName name="_xlnm.Print_Area" localSheetId="8">'3'!$B$2:$N$277</definedName>
    <definedName name="_xlnm.Print_Area" localSheetId="9">'4'!$B$2:$N$277</definedName>
    <definedName name="_xlnm.Print_Area" localSheetId="10">'5'!$B$2:$N$277</definedName>
    <definedName name="_xlnm.Print_Area" localSheetId="11">'6'!$B$2:$N$277</definedName>
    <definedName name="_xlnm.Print_Area" localSheetId="12">'7'!$B$2:$N$277</definedName>
    <definedName name="_xlnm.Print_Area" localSheetId="13">'8'!$B$2:$N$277</definedName>
    <definedName name="_xlnm.Print_Area" localSheetId="14">'9'!$B$2:$N$277</definedName>
    <definedName name="_xlnm.Print_Area" localSheetId="2">bestuur!$B$2:$M$202</definedName>
    <definedName name="_xlnm.Print_Area" localSheetId="5">tabmat!$A$383:$D$603</definedName>
    <definedName name="_xlnm.Print_Area" localSheetId="4">tabpers!$A$1:$K$68</definedName>
    <definedName name="_xlnm.Print_Area" localSheetId="0">toel!$B$2:$P$32</definedName>
    <definedName name="_xlnm.Print_Area" localSheetId="1">tot!$B$2:$M$94,tot!$B$96:$M$149</definedName>
    <definedName name="freverbruik" localSheetId="3">#REF!</definedName>
    <definedName name="freverbruik" localSheetId="22">#REF!</definedName>
    <definedName name="freverbruik" localSheetId="23">#REF!</definedName>
    <definedName name="freverbruik" localSheetId="24">#REF!</definedName>
    <definedName name="freverbruik" localSheetId="25">#REF!</definedName>
    <definedName name="freverbruik" localSheetId="26">#REF!</definedName>
    <definedName name="freverbruik" localSheetId="27">#REF!</definedName>
    <definedName name="freverbruik" localSheetId="28">#REF!</definedName>
    <definedName name="freverbruik" localSheetId="29">#REF!</definedName>
    <definedName name="freverbruik" localSheetId="30">#REF!</definedName>
    <definedName name="freverbruik">#REF!</definedName>
    <definedName name="groepenleerlingen" localSheetId="3">#REF!</definedName>
    <definedName name="groepenleerlingen" localSheetId="22">#REF!</definedName>
    <definedName name="groepenleerlingen" localSheetId="23">#REF!</definedName>
    <definedName name="groepenleerlingen" localSheetId="24">#REF!</definedName>
    <definedName name="groepenleerlingen" localSheetId="25">#REF!</definedName>
    <definedName name="groepenleerlingen" localSheetId="26">#REF!</definedName>
    <definedName name="groepenleerlingen" localSheetId="27">#REF!</definedName>
    <definedName name="groepenleerlingen" localSheetId="28">#REF!</definedName>
    <definedName name="groepenleerlingen" localSheetId="29">#REF!</definedName>
    <definedName name="groepenleerlingen" localSheetId="30">#REF!</definedName>
    <definedName name="groepenleerlingen">#REF!</definedName>
    <definedName name="groepenleerlingennu" localSheetId="5">tabmat!#REF!</definedName>
    <definedName name="groepenleerlingennu">tabmat!$F$496:$F$530</definedName>
    <definedName name="regels" localSheetId="3">#REF!</definedName>
    <definedName name="regels" localSheetId="22">#REF!</definedName>
    <definedName name="regels" localSheetId="23">#REF!</definedName>
    <definedName name="regels" localSheetId="24">#REF!</definedName>
    <definedName name="regels" localSheetId="25">#REF!</definedName>
    <definedName name="regels" localSheetId="26">#REF!</definedName>
    <definedName name="regels" localSheetId="27">#REF!</definedName>
    <definedName name="regels" localSheetId="28">#REF!</definedName>
    <definedName name="regels" localSheetId="29">#REF!</definedName>
    <definedName name="regels" localSheetId="30">#REF!</definedName>
    <definedName name="regels">#REF!</definedName>
    <definedName name="s" localSheetId="3">#REF!</definedName>
    <definedName name="s">#REF!</definedName>
    <definedName name="schaal" localSheetId="3">#REF!</definedName>
    <definedName name="schaal" localSheetId="22">#REF!</definedName>
    <definedName name="schaal" localSheetId="23">#REF!</definedName>
    <definedName name="schaal" localSheetId="24">#REF!</definedName>
    <definedName name="schaal" localSheetId="25">#REF!</definedName>
    <definedName name="schaal" localSheetId="26">#REF!</definedName>
    <definedName name="schaal" localSheetId="27">#REF!</definedName>
    <definedName name="schaal" localSheetId="28">#REF!</definedName>
    <definedName name="schaal" localSheetId="29">#REF!</definedName>
    <definedName name="schaal" localSheetId="30">#REF!</definedName>
    <definedName name="schaal">#REF!</definedName>
    <definedName name="sss" localSheetId="3">#REF!</definedName>
    <definedName name="sss">#REF!</definedName>
    <definedName name="vloeroppervlak" localSheetId="3">#REF!</definedName>
    <definedName name="vloeroppervlak" localSheetId="22">#REF!</definedName>
    <definedName name="vloeroppervlak" localSheetId="23">#REF!</definedName>
    <definedName name="vloeroppervlak" localSheetId="24">#REF!</definedName>
    <definedName name="vloeroppervlak" localSheetId="25">#REF!</definedName>
    <definedName name="vloeroppervlak" localSheetId="26">#REF!</definedName>
    <definedName name="vloeroppervlak" localSheetId="27">#REF!</definedName>
    <definedName name="vloeroppervlak" localSheetId="28">#REF!</definedName>
    <definedName name="vloeroppervlak" localSheetId="29">#REF!</definedName>
    <definedName name="vloeroppervlak" localSheetId="30">#REF!</definedName>
    <definedName name="vloeroppervlak">#REF!</definedName>
    <definedName name="vloeroppervlaknu" localSheetId="5">tabmat!#REF!</definedName>
    <definedName name="vloeroppervlaknu">tabmat!$G$496:$G$530</definedName>
  </definedNames>
  <calcPr calcId="152511"/>
</workbook>
</file>

<file path=xl/calcChain.xml><?xml version="1.0" encoding="utf-8"?>
<calcChain xmlns="http://schemas.openxmlformats.org/spreadsheetml/2006/main">
  <c r="M113" i="36" l="1"/>
  <c r="M113" i="37"/>
  <c r="M113" i="38"/>
  <c r="M113" i="39"/>
  <c r="M113" i="40"/>
  <c r="M113" i="41"/>
  <c r="M113" i="42"/>
  <c r="M113" i="44"/>
  <c r="M113" i="43"/>
  <c r="M113" i="50"/>
  <c r="M113" i="49"/>
  <c r="M113" i="48"/>
  <c r="M113" i="47"/>
  <c r="M113" i="46"/>
  <c r="M113" i="45"/>
  <c r="M113" i="63"/>
  <c r="M113" i="69"/>
  <c r="M113" i="70"/>
  <c r="M113" i="71"/>
  <c r="M113" i="72"/>
  <c r="M113" i="73"/>
  <c r="M113" i="74"/>
  <c r="M113" i="75"/>
  <c r="M113" i="76"/>
  <c r="M113" i="3"/>
  <c r="L113" i="36"/>
  <c r="L113" i="37"/>
  <c r="L113" i="38"/>
  <c r="L113" i="39"/>
  <c r="L113" i="40"/>
  <c r="L113" i="41"/>
  <c r="L113" i="42"/>
  <c r="L113" i="44"/>
  <c r="L113" i="43"/>
  <c r="L113" i="50"/>
  <c r="L113" i="49"/>
  <c r="L113" i="48"/>
  <c r="L113" i="47"/>
  <c r="L113" i="46"/>
  <c r="L113" i="45"/>
  <c r="L113" i="63"/>
  <c r="L113" i="69"/>
  <c r="L113" i="70"/>
  <c r="L113" i="71"/>
  <c r="L113" i="72"/>
  <c r="L113" i="73"/>
  <c r="L113" i="74"/>
  <c r="L113" i="75"/>
  <c r="L113" i="76"/>
  <c r="L113" i="3"/>
  <c r="K113" i="36"/>
  <c r="K113" i="37"/>
  <c r="K113" i="38"/>
  <c r="K113" i="39"/>
  <c r="K113" i="40"/>
  <c r="K113" i="41"/>
  <c r="K113" i="42"/>
  <c r="K113" i="44"/>
  <c r="K113" i="43"/>
  <c r="K113" i="50"/>
  <c r="K113" i="49"/>
  <c r="K113" i="48"/>
  <c r="K113" i="47"/>
  <c r="K113" i="46"/>
  <c r="K113" i="45"/>
  <c r="K113" i="63"/>
  <c r="K113" i="69"/>
  <c r="K113" i="70"/>
  <c r="K113" i="71"/>
  <c r="K113" i="72"/>
  <c r="K113" i="73"/>
  <c r="K113" i="74"/>
  <c r="K113" i="75"/>
  <c r="K113" i="76"/>
  <c r="K113" i="3"/>
  <c r="J113" i="36"/>
  <c r="J113" i="37"/>
  <c r="J113" i="38"/>
  <c r="J113" i="39"/>
  <c r="J113" i="40"/>
  <c r="J113" i="41"/>
  <c r="J113" i="42"/>
  <c r="J113" i="44"/>
  <c r="J113" i="43"/>
  <c r="J113" i="50"/>
  <c r="J113" i="49"/>
  <c r="J113" i="48"/>
  <c r="J113" i="47"/>
  <c r="J113" i="46"/>
  <c r="J113" i="45"/>
  <c r="J113" i="63"/>
  <c r="J113" i="69"/>
  <c r="J113" i="70"/>
  <c r="J113" i="71"/>
  <c r="J113" i="72"/>
  <c r="J113" i="73"/>
  <c r="J113" i="74"/>
  <c r="J113" i="75"/>
  <c r="J113" i="76"/>
  <c r="J113" i="3"/>
  <c r="I113" i="36"/>
  <c r="I113" i="37"/>
  <c r="I113" i="38"/>
  <c r="I113" i="39"/>
  <c r="I113" i="40"/>
  <c r="I113" i="41"/>
  <c r="I113" i="42"/>
  <c r="I113" i="44"/>
  <c r="I113" i="43"/>
  <c r="I113" i="50"/>
  <c r="I113" i="49"/>
  <c r="I113" i="48"/>
  <c r="I113" i="47"/>
  <c r="I113" i="46"/>
  <c r="I113" i="45"/>
  <c r="I113" i="63"/>
  <c r="I113" i="69"/>
  <c r="I113" i="70"/>
  <c r="I113" i="71"/>
  <c r="I113" i="72"/>
  <c r="I113" i="73"/>
  <c r="I113" i="74"/>
  <c r="I113" i="75"/>
  <c r="I113" i="76"/>
  <c r="I113" i="3"/>
  <c r="M111" i="36"/>
  <c r="M111" i="37"/>
  <c r="M111" i="38"/>
  <c r="M111" i="39"/>
  <c r="M111" i="40"/>
  <c r="M111" i="41"/>
  <c r="M111" i="42"/>
  <c r="M111" i="44"/>
  <c r="M111" i="43"/>
  <c r="M111" i="50"/>
  <c r="M111" i="49"/>
  <c r="M111" i="48"/>
  <c r="M111" i="47"/>
  <c r="M111" i="46"/>
  <c r="M111" i="45"/>
  <c r="M111" i="63"/>
  <c r="M111" i="69"/>
  <c r="M111" i="70"/>
  <c r="M111" i="71"/>
  <c r="M111" i="72"/>
  <c r="M111" i="73"/>
  <c r="M111" i="74"/>
  <c r="M111" i="75"/>
  <c r="M111" i="76"/>
  <c r="M111" i="3"/>
  <c r="L111" i="36"/>
  <c r="L111" i="37"/>
  <c r="L111" i="38"/>
  <c r="L111" i="39"/>
  <c r="L111" i="40"/>
  <c r="L111" i="41"/>
  <c r="L111" i="42"/>
  <c r="L111" i="44"/>
  <c r="L111" i="43"/>
  <c r="L111" i="50"/>
  <c r="L111" i="49"/>
  <c r="L111" i="48"/>
  <c r="L111" i="47"/>
  <c r="L111" i="46"/>
  <c r="L111" i="45"/>
  <c r="L111" i="63"/>
  <c r="L111" i="69"/>
  <c r="L111" i="70"/>
  <c r="L111" i="71"/>
  <c r="L111" i="72"/>
  <c r="L111" i="73"/>
  <c r="L111" i="74"/>
  <c r="L111" i="75"/>
  <c r="L111" i="76"/>
  <c r="L111" i="3"/>
  <c r="K111" i="36"/>
  <c r="K111" i="37"/>
  <c r="K111" i="38"/>
  <c r="K111" i="39"/>
  <c r="K111" i="40"/>
  <c r="K111" i="41"/>
  <c r="K111" i="42"/>
  <c r="K111" i="44"/>
  <c r="K111" i="43"/>
  <c r="K111" i="50"/>
  <c r="K111" i="49"/>
  <c r="K111" i="48"/>
  <c r="K111" i="47"/>
  <c r="K111" i="46"/>
  <c r="K111" i="45"/>
  <c r="K111" i="63"/>
  <c r="K111" i="69"/>
  <c r="K111" i="70"/>
  <c r="K111" i="71"/>
  <c r="K111" i="72"/>
  <c r="K111" i="73"/>
  <c r="K111" i="74"/>
  <c r="K111" i="75"/>
  <c r="K111" i="76"/>
  <c r="K111" i="3"/>
  <c r="J111" i="36"/>
  <c r="J111" i="37"/>
  <c r="J111" i="38"/>
  <c r="J111" i="39"/>
  <c r="J111" i="40"/>
  <c r="J111" i="41"/>
  <c r="J111" i="42"/>
  <c r="J111" i="44"/>
  <c r="J111" i="43"/>
  <c r="J111" i="50"/>
  <c r="J111" i="49"/>
  <c r="J111" i="48"/>
  <c r="J111" i="47"/>
  <c r="J111" i="46"/>
  <c r="J111" i="45"/>
  <c r="J111" i="63"/>
  <c r="J111" i="69"/>
  <c r="J111" i="70"/>
  <c r="J111" i="71"/>
  <c r="J111" i="72"/>
  <c r="J111" i="73"/>
  <c r="J111" i="74"/>
  <c r="J111" i="75"/>
  <c r="J111" i="76"/>
  <c r="J111" i="3"/>
  <c r="I111" i="36"/>
  <c r="I111" i="37"/>
  <c r="I111" i="38"/>
  <c r="I111" i="39"/>
  <c r="I111" i="40"/>
  <c r="I111" i="41"/>
  <c r="I111" i="42"/>
  <c r="I111" i="44"/>
  <c r="I111" i="43"/>
  <c r="I111" i="50"/>
  <c r="I111" i="49"/>
  <c r="I111" i="48"/>
  <c r="I111" i="47"/>
  <c r="I111" i="46"/>
  <c r="I111" i="45"/>
  <c r="I111" i="63"/>
  <c r="I111" i="69"/>
  <c r="I111" i="70"/>
  <c r="I111" i="71"/>
  <c r="I111" i="72"/>
  <c r="I111" i="73"/>
  <c r="I111" i="74"/>
  <c r="I111" i="75"/>
  <c r="I111" i="76"/>
  <c r="I111" i="3"/>
  <c r="H111" i="36"/>
  <c r="H111" i="37"/>
  <c r="H111" i="38"/>
  <c r="H111" i="39"/>
  <c r="H111" i="40"/>
  <c r="H111" i="41"/>
  <c r="H111" i="42"/>
  <c r="H111" i="44"/>
  <c r="H111" i="43"/>
  <c r="H111" i="50"/>
  <c r="H111" i="49"/>
  <c r="H111" i="48"/>
  <c r="H111" i="47"/>
  <c r="H111" i="46"/>
  <c r="H111" i="45"/>
  <c r="H111" i="63"/>
  <c r="H111" i="69"/>
  <c r="H111" i="70"/>
  <c r="H111" i="71"/>
  <c r="H111" i="72"/>
  <c r="H111" i="73"/>
  <c r="H111" i="74"/>
  <c r="H111" i="75"/>
  <c r="H111" i="76"/>
  <c r="H111" i="3"/>
  <c r="M69" i="35" l="1"/>
  <c r="G269" i="76" l="1"/>
  <c r="H267" i="76"/>
  <c r="I267" i="76" s="1"/>
  <c r="J267" i="76" s="1"/>
  <c r="K267" i="76" s="1"/>
  <c r="L267" i="76" s="1"/>
  <c r="M267" i="76" s="1"/>
  <c r="I266" i="76"/>
  <c r="H266" i="76"/>
  <c r="H269" i="76" s="1"/>
  <c r="G258" i="76"/>
  <c r="G252" i="76"/>
  <c r="G260" i="76" s="1"/>
  <c r="G273" i="76" s="1"/>
  <c r="G274" i="76" s="1"/>
  <c r="C241" i="76"/>
  <c r="G230" i="76"/>
  <c r="H228" i="76"/>
  <c r="I228" i="76" s="1"/>
  <c r="J228" i="76" s="1"/>
  <c r="K228" i="76" s="1"/>
  <c r="L228" i="76" s="1"/>
  <c r="M228" i="76" s="1"/>
  <c r="J227" i="76"/>
  <c r="K227" i="76" s="1"/>
  <c r="L227" i="76" s="1"/>
  <c r="M227" i="76" s="1"/>
  <c r="H227" i="76"/>
  <c r="I227" i="76" s="1"/>
  <c r="H226" i="76"/>
  <c r="I226" i="76" s="1"/>
  <c r="J226" i="76" s="1"/>
  <c r="K226" i="76" s="1"/>
  <c r="L226" i="76" s="1"/>
  <c r="M226" i="76" s="1"/>
  <c r="J225" i="76"/>
  <c r="K225" i="76" s="1"/>
  <c r="L225" i="76" s="1"/>
  <c r="M225" i="76" s="1"/>
  <c r="H225" i="76"/>
  <c r="I225" i="76" s="1"/>
  <c r="H224" i="76"/>
  <c r="I224" i="76" s="1"/>
  <c r="J224" i="76" s="1"/>
  <c r="K224" i="76" s="1"/>
  <c r="L224" i="76" s="1"/>
  <c r="M224" i="76" s="1"/>
  <c r="H223" i="76"/>
  <c r="G217" i="76"/>
  <c r="H215" i="76"/>
  <c r="I215" i="76" s="1"/>
  <c r="J215" i="76" s="1"/>
  <c r="K215" i="76" s="1"/>
  <c r="L215" i="76" s="1"/>
  <c r="M215" i="76" s="1"/>
  <c r="I214" i="76"/>
  <c r="J214" i="76" s="1"/>
  <c r="K214" i="76" s="1"/>
  <c r="L214" i="76" s="1"/>
  <c r="M214" i="76" s="1"/>
  <c r="H214" i="76"/>
  <c r="H213" i="76"/>
  <c r="I213" i="76" s="1"/>
  <c r="J213" i="76" s="1"/>
  <c r="K213" i="76" s="1"/>
  <c r="L213" i="76" s="1"/>
  <c r="M213" i="76" s="1"/>
  <c r="M212" i="76"/>
  <c r="I212" i="76"/>
  <c r="J212" i="76" s="1"/>
  <c r="K212" i="76" s="1"/>
  <c r="L212" i="76" s="1"/>
  <c r="H212" i="76"/>
  <c r="H211" i="76"/>
  <c r="I211" i="76" s="1"/>
  <c r="J211" i="76" s="1"/>
  <c r="K211" i="76" s="1"/>
  <c r="L211" i="76" s="1"/>
  <c r="M211" i="76" s="1"/>
  <c r="I210" i="76"/>
  <c r="J210" i="76" s="1"/>
  <c r="K210" i="76" s="1"/>
  <c r="L210" i="76" s="1"/>
  <c r="M210" i="76" s="1"/>
  <c r="H210" i="76"/>
  <c r="H209" i="76"/>
  <c r="I209" i="76" s="1"/>
  <c r="J209" i="76" s="1"/>
  <c r="K209" i="76" s="1"/>
  <c r="L209" i="76" s="1"/>
  <c r="M209" i="76" s="1"/>
  <c r="M208" i="76"/>
  <c r="I208" i="76"/>
  <c r="J208" i="76" s="1"/>
  <c r="K208" i="76" s="1"/>
  <c r="L208" i="76" s="1"/>
  <c r="H208" i="76"/>
  <c r="H207" i="76"/>
  <c r="I207" i="76" s="1"/>
  <c r="J207" i="76" s="1"/>
  <c r="K207" i="76" s="1"/>
  <c r="L207" i="76" s="1"/>
  <c r="M207" i="76" s="1"/>
  <c r="I206" i="76"/>
  <c r="H206" i="76"/>
  <c r="G200" i="76"/>
  <c r="G234" i="76" s="1"/>
  <c r="J198" i="76"/>
  <c r="K198" i="76" s="1"/>
  <c r="L198" i="76" s="1"/>
  <c r="M198" i="76" s="1"/>
  <c r="H198" i="76"/>
  <c r="I198" i="76" s="1"/>
  <c r="H197" i="76"/>
  <c r="I197" i="76" s="1"/>
  <c r="J197" i="76" s="1"/>
  <c r="K197" i="76" s="1"/>
  <c r="L197" i="76" s="1"/>
  <c r="M197" i="76" s="1"/>
  <c r="J196" i="76"/>
  <c r="K196" i="76" s="1"/>
  <c r="L196" i="76" s="1"/>
  <c r="M196" i="76" s="1"/>
  <c r="H196" i="76"/>
  <c r="I196" i="76" s="1"/>
  <c r="H195" i="76"/>
  <c r="G187" i="76"/>
  <c r="H186" i="76"/>
  <c r="I186" i="76" s="1"/>
  <c r="J186" i="76" s="1"/>
  <c r="K186" i="76" s="1"/>
  <c r="L186" i="76" s="1"/>
  <c r="M186" i="76" s="1"/>
  <c r="H185" i="76"/>
  <c r="I185" i="76" s="1"/>
  <c r="J185" i="76" s="1"/>
  <c r="K185" i="76" s="1"/>
  <c r="L185" i="76" s="1"/>
  <c r="M185" i="76" s="1"/>
  <c r="H184" i="76"/>
  <c r="I184" i="76" s="1"/>
  <c r="J184" i="76" s="1"/>
  <c r="K184" i="76" s="1"/>
  <c r="L184" i="76" s="1"/>
  <c r="M184" i="76" s="1"/>
  <c r="H183" i="76"/>
  <c r="I183" i="76" s="1"/>
  <c r="J183" i="76" s="1"/>
  <c r="K183" i="76" s="1"/>
  <c r="L183" i="76" s="1"/>
  <c r="M183" i="76" s="1"/>
  <c r="H182" i="76"/>
  <c r="I182" i="76" s="1"/>
  <c r="G180" i="76"/>
  <c r="H179" i="76"/>
  <c r="I179" i="76" s="1"/>
  <c r="J179" i="76" s="1"/>
  <c r="K179" i="76" s="1"/>
  <c r="L179" i="76" s="1"/>
  <c r="M179" i="76" s="1"/>
  <c r="H178" i="76"/>
  <c r="I178" i="76" s="1"/>
  <c r="J178" i="76" s="1"/>
  <c r="K178" i="76" s="1"/>
  <c r="L178" i="76" s="1"/>
  <c r="M178" i="76" s="1"/>
  <c r="H177" i="76"/>
  <c r="G164" i="76"/>
  <c r="H162" i="76"/>
  <c r="I162" i="76" s="1"/>
  <c r="J162" i="76" s="1"/>
  <c r="K162" i="76" s="1"/>
  <c r="L162" i="76" s="1"/>
  <c r="M162" i="76" s="1"/>
  <c r="H161" i="76"/>
  <c r="I161" i="76" s="1"/>
  <c r="J161" i="76" s="1"/>
  <c r="K161" i="76" s="1"/>
  <c r="L161" i="76" s="1"/>
  <c r="M161" i="76" s="1"/>
  <c r="H160" i="76"/>
  <c r="I160" i="76" s="1"/>
  <c r="J160" i="76" s="1"/>
  <c r="K160" i="76" s="1"/>
  <c r="L160" i="76" s="1"/>
  <c r="M160" i="76" s="1"/>
  <c r="H159" i="76"/>
  <c r="I159" i="76" s="1"/>
  <c r="J159" i="76" s="1"/>
  <c r="K159" i="76" s="1"/>
  <c r="L159" i="76" s="1"/>
  <c r="M159" i="76" s="1"/>
  <c r="H158" i="76"/>
  <c r="G152" i="76"/>
  <c r="H150" i="76"/>
  <c r="I150" i="76" s="1"/>
  <c r="J150" i="76" s="1"/>
  <c r="K150" i="76" s="1"/>
  <c r="L150" i="76" s="1"/>
  <c r="M150" i="76" s="1"/>
  <c r="H149" i="76"/>
  <c r="I149" i="76" s="1"/>
  <c r="J149" i="76" s="1"/>
  <c r="K149" i="76" s="1"/>
  <c r="L149" i="76" s="1"/>
  <c r="M149" i="76" s="1"/>
  <c r="H148" i="76"/>
  <c r="I148" i="76" s="1"/>
  <c r="J148" i="76" s="1"/>
  <c r="K148" i="76" s="1"/>
  <c r="L148" i="76" s="1"/>
  <c r="M148" i="76" s="1"/>
  <c r="H147" i="76"/>
  <c r="I147" i="76" s="1"/>
  <c r="J147" i="76" s="1"/>
  <c r="K147" i="76" s="1"/>
  <c r="L147" i="76" s="1"/>
  <c r="M147" i="76" s="1"/>
  <c r="H146" i="76"/>
  <c r="I146" i="76" s="1"/>
  <c r="G136" i="76"/>
  <c r="H135" i="76"/>
  <c r="I135" i="76" s="1"/>
  <c r="J135" i="76" s="1"/>
  <c r="K135" i="76" s="1"/>
  <c r="L135" i="76" s="1"/>
  <c r="M135" i="76" s="1"/>
  <c r="I134" i="76"/>
  <c r="J134" i="76" s="1"/>
  <c r="K134" i="76" s="1"/>
  <c r="L134" i="76" s="1"/>
  <c r="M134" i="76" s="1"/>
  <c r="H134" i="76"/>
  <c r="H133" i="76"/>
  <c r="I133" i="76" s="1"/>
  <c r="J133" i="76" s="1"/>
  <c r="K133" i="76" s="1"/>
  <c r="L133" i="76" s="1"/>
  <c r="M133" i="76" s="1"/>
  <c r="M132" i="76"/>
  <c r="H132" i="76"/>
  <c r="I132" i="76" s="1"/>
  <c r="J132" i="76" s="1"/>
  <c r="K132" i="76" s="1"/>
  <c r="L132" i="76" s="1"/>
  <c r="H131" i="76"/>
  <c r="G129" i="76"/>
  <c r="H128" i="76"/>
  <c r="I128" i="76" s="1"/>
  <c r="J128" i="76" s="1"/>
  <c r="K128" i="76" s="1"/>
  <c r="L128" i="76" s="1"/>
  <c r="M128" i="76" s="1"/>
  <c r="H127" i="76"/>
  <c r="I127" i="76" s="1"/>
  <c r="J127" i="76" s="1"/>
  <c r="K127" i="76" s="1"/>
  <c r="L127" i="76" s="1"/>
  <c r="M127" i="76" s="1"/>
  <c r="H126" i="76"/>
  <c r="I126" i="76" s="1"/>
  <c r="J126" i="76" s="1"/>
  <c r="K126" i="76" s="1"/>
  <c r="L126" i="76" s="1"/>
  <c r="M126" i="76" s="1"/>
  <c r="H125" i="76"/>
  <c r="I125" i="76" s="1"/>
  <c r="J125" i="76" s="1"/>
  <c r="K125" i="76" s="1"/>
  <c r="L125" i="76" s="1"/>
  <c r="M125" i="76" s="1"/>
  <c r="H124" i="76"/>
  <c r="H120" i="76"/>
  <c r="I120" i="76" s="1"/>
  <c r="J120" i="76" s="1"/>
  <c r="K120" i="76" s="1"/>
  <c r="L120" i="76" s="1"/>
  <c r="M120" i="76" s="1"/>
  <c r="H119" i="76"/>
  <c r="I119" i="76" s="1"/>
  <c r="J119" i="76" s="1"/>
  <c r="K119" i="76" s="1"/>
  <c r="L119" i="76" s="1"/>
  <c r="M119" i="76" s="1"/>
  <c r="H118" i="76"/>
  <c r="I118" i="76" s="1"/>
  <c r="J118" i="76" s="1"/>
  <c r="K118" i="76" s="1"/>
  <c r="L118" i="76" s="1"/>
  <c r="M118" i="76" s="1"/>
  <c r="J117" i="76"/>
  <c r="K117" i="76" s="1"/>
  <c r="L117" i="76" s="1"/>
  <c r="M117" i="76" s="1"/>
  <c r="H117" i="76"/>
  <c r="I117" i="76" s="1"/>
  <c r="G113" i="76"/>
  <c r="C85" i="76"/>
  <c r="D72" i="76"/>
  <c r="D77" i="76" s="1"/>
  <c r="D71" i="76"/>
  <c r="D76" i="76" s="1"/>
  <c r="G63" i="76"/>
  <c r="H62" i="76"/>
  <c r="I62" i="76" s="1"/>
  <c r="J62" i="76" s="1"/>
  <c r="K62" i="76" s="1"/>
  <c r="L62" i="76" s="1"/>
  <c r="M62" i="76" s="1"/>
  <c r="G60" i="76"/>
  <c r="J59" i="76"/>
  <c r="K59" i="76" s="1"/>
  <c r="L59" i="76" s="1"/>
  <c r="M59" i="76" s="1"/>
  <c r="H59" i="76"/>
  <c r="I59" i="76" s="1"/>
  <c r="H58" i="76"/>
  <c r="G57" i="76"/>
  <c r="G44" i="76" s="1"/>
  <c r="H56" i="76"/>
  <c r="I56" i="76" s="1"/>
  <c r="J56" i="76" s="1"/>
  <c r="K56" i="76" s="1"/>
  <c r="L56" i="76" s="1"/>
  <c r="M56" i="76" s="1"/>
  <c r="H55" i="76"/>
  <c r="H51" i="76"/>
  <c r="I51" i="76" s="1"/>
  <c r="J51" i="76" s="1"/>
  <c r="K51" i="76" s="1"/>
  <c r="L51" i="76" s="1"/>
  <c r="M51" i="76" s="1"/>
  <c r="H36" i="76"/>
  <c r="I36" i="76" s="1"/>
  <c r="G35" i="76"/>
  <c r="I34" i="76"/>
  <c r="J34" i="76" s="1"/>
  <c r="K34" i="76" s="1"/>
  <c r="L34" i="76" s="1"/>
  <c r="M34" i="76" s="1"/>
  <c r="H34" i="76"/>
  <c r="G29" i="76"/>
  <c r="H28" i="76"/>
  <c r="I28" i="76" s="1"/>
  <c r="J28" i="76" s="1"/>
  <c r="K28" i="76" s="1"/>
  <c r="L28" i="76" s="1"/>
  <c r="M28" i="76" s="1"/>
  <c r="H27" i="76"/>
  <c r="G26" i="76"/>
  <c r="H25" i="76"/>
  <c r="H24" i="76"/>
  <c r="H18" i="76"/>
  <c r="I18" i="76" s="1"/>
  <c r="J18" i="76" s="1"/>
  <c r="K18" i="76" s="1"/>
  <c r="L18" i="76" s="1"/>
  <c r="M18" i="76" s="1"/>
  <c r="M8" i="76"/>
  <c r="M86" i="76" s="1"/>
  <c r="M170" i="76" s="1"/>
  <c r="L8" i="76"/>
  <c r="L86" i="76" s="1"/>
  <c r="L170" i="76" s="1"/>
  <c r="K8" i="76"/>
  <c r="K86" i="76" s="1"/>
  <c r="K170" i="76" s="1"/>
  <c r="J8" i="76"/>
  <c r="J86" i="76" s="1"/>
  <c r="J170" i="76" s="1"/>
  <c r="I8" i="76"/>
  <c r="I86" i="76" s="1"/>
  <c r="I170" i="76" s="1"/>
  <c r="H8" i="76"/>
  <c r="H86" i="76" s="1"/>
  <c r="H170" i="76" s="1"/>
  <c r="G8" i="76"/>
  <c r="G86" i="76" s="1"/>
  <c r="G170" i="76" s="1"/>
  <c r="C5" i="76"/>
  <c r="G269" i="75"/>
  <c r="I267" i="75"/>
  <c r="J267" i="75" s="1"/>
  <c r="K267" i="75" s="1"/>
  <c r="L267" i="75" s="1"/>
  <c r="M267" i="75" s="1"/>
  <c r="H267" i="75"/>
  <c r="H266" i="75"/>
  <c r="H269" i="75" s="1"/>
  <c r="G260" i="75"/>
  <c r="G273" i="75" s="1"/>
  <c r="G274" i="75" s="1"/>
  <c r="G258" i="75"/>
  <c r="G252" i="75"/>
  <c r="C241" i="75"/>
  <c r="G230" i="75"/>
  <c r="H228" i="75"/>
  <c r="I228" i="75" s="1"/>
  <c r="J228" i="75" s="1"/>
  <c r="K228" i="75" s="1"/>
  <c r="L228" i="75" s="1"/>
  <c r="M228" i="75" s="1"/>
  <c r="H227" i="75"/>
  <c r="I227" i="75" s="1"/>
  <c r="J227" i="75" s="1"/>
  <c r="K227" i="75" s="1"/>
  <c r="L227" i="75" s="1"/>
  <c r="M227" i="75" s="1"/>
  <c r="H226" i="75"/>
  <c r="I226" i="75" s="1"/>
  <c r="J226" i="75" s="1"/>
  <c r="K226" i="75" s="1"/>
  <c r="L226" i="75" s="1"/>
  <c r="M226" i="75" s="1"/>
  <c r="H225" i="75"/>
  <c r="I225" i="75" s="1"/>
  <c r="J225" i="75" s="1"/>
  <c r="K225" i="75" s="1"/>
  <c r="L225" i="75" s="1"/>
  <c r="M225" i="75" s="1"/>
  <c r="H224" i="75"/>
  <c r="I224" i="75" s="1"/>
  <c r="J224" i="75" s="1"/>
  <c r="K224" i="75" s="1"/>
  <c r="L224" i="75" s="1"/>
  <c r="M224" i="75" s="1"/>
  <c r="H223" i="75"/>
  <c r="G217" i="75"/>
  <c r="H215" i="75"/>
  <c r="I215" i="75" s="1"/>
  <c r="J215" i="75" s="1"/>
  <c r="K215" i="75" s="1"/>
  <c r="L215" i="75" s="1"/>
  <c r="M215" i="75" s="1"/>
  <c r="I214" i="75"/>
  <c r="J214" i="75" s="1"/>
  <c r="K214" i="75" s="1"/>
  <c r="L214" i="75" s="1"/>
  <c r="M214" i="75" s="1"/>
  <c r="H214" i="75"/>
  <c r="H213" i="75"/>
  <c r="I213" i="75" s="1"/>
  <c r="J213" i="75" s="1"/>
  <c r="K213" i="75" s="1"/>
  <c r="L213" i="75" s="1"/>
  <c r="M213" i="75" s="1"/>
  <c r="H212" i="75"/>
  <c r="I212" i="75" s="1"/>
  <c r="J212" i="75" s="1"/>
  <c r="K212" i="75" s="1"/>
  <c r="L212" i="75" s="1"/>
  <c r="M212" i="75" s="1"/>
  <c r="H211" i="75"/>
  <c r="I211" i="75" s="1"/>
  <c r="J211" i="75" s="1"/>
  <c r="K211" i="75" s="1"/>
  <c r="L211" i="75" s="1"/>
  <c r="M211" i="75" s="1"/>
  <c r="I210" i="75"/>
  <c r="J210" i="75" s="1"/>
  <c r="K210" i="75" s="1"/>
  <c r="L210" i="75" s="1"/>
  <c r="M210" i="75" s="1"/>
  <c r="H210" i="75"/>
  <c r="H209" i="75"/>
  <c r="I209" i="75" s="1"/>
  <c r="J209" i="75" s="1"/>
  <c r="K209" i="75" s="1"/>
  <c r="L209" i="75" s="1"/>
  <c r="M209" i="75" s="1"/>
  <c r="H208" i="75"/>
  <c r="I208" i="75" s="1"/>
  <c r="J208" i="75" s="1"/>
  <c r="K208" i="75" s="1"/>
  <c r="L208" i="75" s="1"/>
  <c r="M208" i="75" s="1"/>
  <c r="H207" i="75"/>
  <c r="I207" i="75" s="1"/>
  <c r="J207" i="75" s="1"/>
  <c r="K207" i="75" s="1"/>
  <c r="L207" i="75" s="1"/>
  <c r="M207" i="75" s="1"/>
  <c r="H206" i="75"/>
  <c r="G200" i="75"/>
  <c r="H198" i="75"/>
  <c r="I198" i="75" s="1"/>
  <c r="J198" i="75" s="1"/>
  <c r="K198" i="75" s="1"/>
  <c r="L198" i="75" s="1"/>
  <c r="M198" i="75" s="1"/>
  <c r="H197" i="75"/>
  <c r="I197" i="75" s="1"/>
  <c r="J197" i="75" s="1"/>
  <c r="K197" i="75" s="1"/>
  <c r="L197" i="75" s="1"/>
  <c r="M197" i="75" s="1"/>
  <c r="H196" i="75"/>
  <c r="I196" i="75" s="1"/>
  <c r="J196" i="75" s="1"/>
  <c r="K196" i="75" s="1"/>
  <c r="L196" i="75" s="1"/>
  <c r="M196" i="75" s="1"/>
  <c r="H195" i="75"/>
  <c r="G187" i="75"/>
  <c r="H186" i="75"/>
  <c r="I186" i="75" s="1"/>
  <c r="J186" i="75" s="1"/>
  <c r="K186" i="75" s="1"/>
  <c r="L186" i="75" s="1"/>
  <c r="M186" i="75" s="1"/>
  <c r="H185" i="75"/>
  <c r="I185" i="75" s="1"/>
  <c r="J185" i="75" s="1"/>
  <c r="K185" i="75" s="1"/>
  <c r="L185" i="75" s="1"/>
  <c r="M185" i="75" s="1"/>
  <c r="H184" i="75"/>
  <c r="I184" i="75" s="1"/>
  <c r="J184" i="75" s="1"/>
  <c r="K184" i="75" s="1"/>
  <c r="L184" i="75" s="1"/>
  <c r="M184" i="75" s="1"/>
  <c r="H183" i="75"/>
  <c r="I183" i="75" s="1"/>
  <c r="J183" i="75" s="1"/>
  <c r="K183" i="75" s="1"/>
  <c r="L183" i="75" s="1"/>
  <c r="M183" i="75" s="1"/>
  <c r="H182" i="75"/>
  <c r="I182" i="75" s="1"/>
  <c r="G180" i="75"/>
  <c r="G189" i="75" s="1"/>
  <c r="H179" i="75"/>
  <c r="I179" i="75" s="1"/>
  <c r="J179" i="75" s="1"/>
  <c r="K179" i="75" s="1"/>
  <c r="L179" i="75" s="1"/>
  <c r="M179" i="75" s="1"/>
  <c r="I178" i="75"/>
  <c r="J178" i="75" s="1"/>
  <c r="K178" i="75" s="1"/>
  <c r="L178" i="75" s="1"/>
  <c r="M178" i="75" s="1"/>
  <c r="H178" i="75"/>
  <c r="H177" i="75"/>
  <c r="I177" i="75" s="1"/>
  <c r="G164" i="75"/>
  <c r="L162" i="75"/>
  <c r="M162" i="75" s="1"/>
  <c r="H162" i="75"/>
  <c r="I162" i="75" s="1"/>
  <c r="J162" i="75" s="1"/>
  <c r="K162" i="75" s="1"/>
  <c r="J161" i="75"/>
  <c r="K161" i="75" s="1"/>
  <c r="L161" i="75" s="1"/>
  <c r="M161" i="75" s="1"/>
  <c r="H161" i="75"/>
  <c r="I161" i="75" s="1"/>
  <c r="L160" i="75"/>
  <c r="M160" i="75" s="1"/>
  <c r="H160" i="75"/>
  <c r="I160" i="75" s="1"/>
  <c r="J160" i="75" s="1"/>
  <c r="K160" i="75" s="1"/>
  <c r="J159" i="75"/>
  <c r="K159" i="75" s="1"/>
  <c r="L159" i="75" s="1"/>
  <c r="M159" i="75" s="1"/>
  <c r="H159" i="75"/>
  <c r="I159" i="75" s="1"/>
  <c r="I158" i="75"/>
  <c r="H158" i="75"/>
  <c r="H164" i="75" s="1"/>
  <c r="G152" i="75"/>
  <c r="H150" i="75"/>
  <c r="I150" i="75" s="1"/>
  <c r="J150" i="75" s="1"/>
  <c r="K150" i="75" s="1"/>
  <c r="L150" i="75" s="1"/>
  <c r="M150" i="75" s="1"/>
  <c r="H149" i="75"/>
  <c r="I149" i="75" s="1"/>
  <c r="J149" i="75" s="1"/>
  <c r="K149" i="75" s="1"/>
  <c r="L149" i="75" s="1"/>
  <c r="M149" i="75" s="1"/>
  <c r="H148" i="75"/>
  <c r="I148" i="75" s="1"/>
  <c r="J148" i="75" s="1"/>
  <c r="K148" i="75" s="1"/>
  <c r="L148" i="75" s="1"/>
  <c r="M148" i="75" s="1"/>
  <c r="H147" i="75"/>
  <c r="I147" i="75" s="1"/>
  <c r="J147" i="75" s="1"/>
  <c r="K147" i="75" s="1"/>
  <c r="L147" i="75" s="1"/>
  <c r="M147" i="75" s="1"/>
  <c r="H146" i="75"/>
  <c r="G136" i="75"/>
  <c r="I135" i="75"/>
  <c r="J135" i="75" s="1"/>
  <c r="K135" i="75" s="1"/>
  <c r="L135" i="75" s="1"/>
  <c r="M135" i="75" s="1"/>
  <c r="H135" i="75"/>
  <c r="K134" i="75"/>
  <c r="L134" i="75" s="1"/>
  <c r="M134" i="75" s="1"/>
  <c r="H134" i="75"/>
  <c r="I134" i="75" s="1"/>
  <c r="J134" i="75" s="1"/>
  <c r="H133" i="75"/>
  <c r="I132" i="75"/>
  <c r="J132" i="75" s="1"/>
  <c r="K132" i="75" s="1"/>
  <c r="L132" i="75" s="1"/>
  <c r="M132" i="75" s="1"/>
  <c r="H132" i="75"/>
  <c r="I131" i="75"/>
  <c r="H131" i="75"/>
  <c r="G129" i="75"/>
  <c r="G138" i="75" s="1"/>
  <c r="H128" i="75"/>
  <c r="I128" i="75" s="1"/>
  <c r="J128" i="75" s="1"/>
  <c r="K128" i="75" s="1"/>
  <c r="L128" i="75" s="1"/>
  <c r="M128" i="75" s="1"/>
  <c r="J127" i="75"/>
  <c r="K127" i="75" s="1"/>
  <c r="L127" i="75" s="1"/>
  <c r="M127" i="75" s="1"/>
  <c r="H127" i="75"/>
  <c r="I127" i="75" s="1"/>
  <c r="H126" i="75"/>
  <c r="I126" i="75" s="1"/>
  <c r="J126" i="75" s="1"/>
  <c r="K126" i="75" s="1"/>
  <c r="L126" i="75" s="1"/>
  <c r="M126" i="75" s="1"/>
  <c r="H125" i="75"/>
  <c r="I125" i="75" s="1"/>
  <c r="J125" i="75" s="1"/>
  <c r="K125" i="75" s="1"/>
  <c r="L125" i="75" s="1"/>
  <c r="M125" i="75" s="1"/>
  <c r="H124" i="75"/>
  <c r="J120" i="75"/>
  <c r="K120" i="75" s="1"/>
  <c r="L120" i="75" s="1"/>
  <c r="M120" i="75" s="1"/>
  <c r="H120" i="75"/>
  <c r="I120" i="75" s="1"/>
  <c r="H119" i="75"/>
  <c r="I119" i="75" s="1"/>
  <c r="J119" i="75" s="1"/>
  <c r="K119" i="75" s="1"/>
  <c r="L119" i="75" s="1"/>
  <c r="M119" i="75" s="1"/>
  <c r="H118" i="75"/>
  <c r="I118" i="75" s="1"/>
  <c r="J118" i="75" s="1"/>
  <c r="K118" i="75" s="1"/>
  <c r="L118" i="75" s="1"/>
  <c r="M118" i="75" s="1"/>
  <c r="H117" i="75"/>
  <c r="I117" i="75" s="1"/>
  <c r="J117" i="75" s="1"/>
  <c r="K117" i="75" s="1"/>
  <c r="L117" i="75" s="1"/>
  <c r="M117" i="75" s="1"/>
  <c r="G113" i="75"/>
  <c r="C85" i="75"/>
  <c r="D72" i="75"/>
  <c r="D77" i="75" s="1"/>
  <c r="D71" i="75"/>
  <c r="D76" i="75" s="1"/>
  <c r="G63" i="75"/>
  <c r="H62" i="75"/>
  <c r="I62" i="75" s="1"/>
  <c r="J62" i="75" s="1"/>
  <c r="K62" i="75" s="1"/>
  <c r="L62" i="75" s="1"/>
  <c r="M62" i="75" s="1"/>
  <c r="G60" i="75"/>
  <c r="H59" i="75"/>
  <c r="I59" i="75" s="1"/>
  <c r="J59" i="75" s="1"/>
  <c r="K59" i="75" s="1"/>
  <c r="L59" i="75" s="1"/>
  <c r="M59" i="75" s="1"/>
  <c r="H58" i="75"/>
  <c r="G57" i="75"/>
  <c r="H56" i="75"/>
  <c r="I56" i="75" s="1"/>
  <c r="J56" i="75" s="1"/>
  <c r="K56" i="75" s="1"/>
  <c r="L56" i="75" s="1"/>
  <c r="M56" i="75" s="1"/>
  <c r="I55" i="75"/>
  <c r="I57" i="75" s="1"/>
  <c r="H55" i="75"/>
  <c r="H51" i="75"/>
  <c r="I51" i="75" s="1"/>
  <c r="J51" i="75" s="1"/>
  <c r="K51" i="75" s="1"/>
  <c r="L51" i="75" s="1"/>
  <c r="M51" i="75" s="1"/>
  <c r="H36" i="75"/>
  <c r="I36" i="75" s="1"/>
  <c r="H35" i="75"/>
  <c r="G35" i="75"/>
  <c r="H34" i="75"/>
  <c r="I34" i="75" s="1"/>
  <c r="J34" i="75" s="1"/>
  <c r="K34" i="75" s="1"/>
  <c r="L34" i="75" s="1"/>
  <c r="M34" i="75" s="1"/>
  <c r="G29" i="75"/>
  <c r="I28" i="75"/>
  <c r="J28" i="75" s="1"/>
  <c r="K28" i="75" s="1"/>
  <c r="L28" i="75" s="1"/>
  <c r="M28" i="75" s="1"/>
  <c r="H28" i="75"/>
  <c r="H27" i="75"/>
  <c r="H29" i="75" s="1"/>
  <c r="G26" i="75"/>
  <c r="H25" i="75"/>
  <c r="H24" i="75"/>
  <c r="H18" i="75"/>
  <c r="I18" i="75" s="1"/>
  <c r="J18" i="75" s="1"/>
  <c r="K18" i="75" s="1"/>
  <c r="L18" i="75" s="1"/>
  <c r="M18" i="75" s="1"/>
  <c r="M8" i="75"/>
  <c r="M86" i="75" s="1"/>
  <c r="M170" i="75" s="1"/>
  <c r="L8" i="75"/>
  <c r="L86" i="75" s="1"/>
  <c r="L170" i="75" s="1"/>
  <c r="K8" i="75"/>
  <c r="K86" i="75" s="1"/>
  <c r="K170" i="75" s="1"/>
  <c r="J8" i="75"/>
  <c r="J86" i="75" s="1"/>
  <c r="J170" i="75" s="1"/>
  <c r="I8" i="75"/>
  <c r="I86" i="75" s="1"/>
  <c r="I170" i="75" s="1"/>
  <c r="H8" i="75"/>
  <c r="H86" i="75" s="1"/>
  <c r="H170" i="75" s="1"/>
  <c r="G8" i="75"/>
  <c r="G86" i="75" s="1"/>
  <c r="G170" i="75" s="1"/>
  <c r="C5" i="75"/>
  <c r="G269" i="74"/>
  <c r="H267" i="74"/>
  <c r="I267" i="74" s="1"/>
  <c r="J267" i="74" s="1"/>
  <c r="K267" i="74" s="1"/>
  <c r="L267" i="74" s="1"/>
  <c r="M267" i="74" s="1"/>
  <c r="H266" i="74"/>
  <c r="G258" i="74"/>
  <c r="G252" i="74"/>
  <c r="G260" i="74" s="1"/>
  <c r="C241" i="74"/>
  <c r="G230" i="74"/>
  <c r="H228" i="74"/>
  <c r="I228" i="74" s="1"/>
  <c r="J228" i="74" s="1"/>
  <c r="K228" i="74" s="1"/>
  <c r="L228" i="74" s="1"/>
  <c r="M228" i="74" s="1"/>
  <c r="I227" i="74"/>
  <c r="J227" i="74" s="1"/>
  <c r="K227" i="74" s="1"/>
  <c r="L227" i="74" s="1"/>
  <c r="M227" i="74" s="1"/>
  <c r="H227" i="74"/>
  <c r="K226" i="74"/>
  <c r="L226" i="74" s="1"/>
  <c r="M226" i="74" s="1"/>
  <c r="H226" i="74"/>
  <c r="I226" i="74" s="1"/>
  <c r="J226" i="74" s="1"/>
  <c r="H225" i="74"/>
  <c r="I225" i="74" s="1"/>
  <c r="J225" i="74" s="1"/>
  <c r="K225" i="74" s="1"/>
  <c r="L225" i="74" s="1"/>
  <c r="M225" i="74" s="1"/>
  <c r="H224" i="74"/>
  <c r="I223" i="74"/>
  <c r="H223" i="74"/>
  <c r="G217" i="74"/>
  <c r="H215" i="74"/>
  <c r="I215" i="74" s="1"/>
  <c r="J215" i="74" s="1"/>
  <c r="K215" i="74" s="1"/>
  <c r="L215" i="74" s="1"/>
  <c r="M215" i="74" s="1"/>
  <c r="H214" i="74"/>
  <c r="I214" i="74" s="1"/>
  <c r="J214" i="74" s="1"/>
  <c r="K214" i="74" s="1"/>
  <c r="L214" i="74" s="1"/>
  <c r="M214" i="74" s="1"/>
  <c r="K213" i="74"/>
  <c r="L213" i="74" s="1"/>
  <c r="M213" i="74" s="1"/>
  <c r="J213" i="74"/>
  <c r="H213" i="74"/>
  <c r="I213" i="74" s="1"/>
  <c r="L212" i="74"/>
  <c r="M212" i="74" s="1"/>
  <c r="I212" i="74"/>
  <c r="J212" i="74" s="1"/>
  <c r="K212" i="74" s="1"/>
  <c r="H212" i="74"/>
  <c r="J211" i="74"/>
  <c r="K211" i="74" s="1"/>
  <c r="L211" i="74" s="1"/>
  <c r="M211" i="74" s="1"/>
  <c r="H211" i="74"/>
  <c r="I211" i="74" s="1"/>
  <c r="H210" i="74"/>
  <c r="I210" i="74" s="1"/>
  <c r="J210" i="74" s="1"/>
  <c r="K210" i="74" s="1"/>
  <c r="L210" i="74" s="1"/>
  <c r="M210" i="74" s="1"/>
  <c r="H209" i="74"/>
  <c r="I209" i="74" s="1"/>
  <c r="J209" i="74" s="1"/>
  <c r="K209" i="74" s="1"/>
  <c r="L209" i="74" s="1"/>
  <c r="M209" i="74" s="1"/>
  <c r="H208" i="74"/>
  <c r="I208" i="74" s="1"/>
  <c r="J208" i="74" s="1"/>
  <c r="K208" i="74" s="1"/>
  <c r="L208" i="74" s="1"/>
  <c r="M208" i="74" s="1"/>
  <c r="H207" i="74"/>
  <c r="I207" i="74" s="1"/>
  <c r="J207" i="74" s="1"/>
  <c r="K207" i="74" s="1"/>
  <c r="L207" i="74" s="1"/>
  <c r="M207" i="74" s="1"/>
  <c r="H206" i="74"/>
  <c r="I206" i="74" s="1"/>
  <c r="G200" i="74"/>
  <c r="I198" i="74"/>
  <c r="J198" i="74" s="1"/>
  <c r="K198" i="74" s="1"/>
  <c r="L198" i="74" s="1"/>
  <c r="M198" i="74" s="1"/>
  <c r="H198" i="74"/>
  <c r="K197" i="74"/>
  <c r="L197" i="74" s="1"/>
  <c r="M197" i="74" s="1"/>
  <c r="H197" i="74"/>
  <c r="I197" i="74" s="1"/>
  <c r="J197" i="74" s="1"/>
  <c r="I196" i="74"/>
  <c r="J196" i="74" s="1"/>
  <c r="K196" i="74" s="1"/>
  <c r="L196" i="74" s="1"/>
  <c r="M196" i="74" s="1"/>
  <c r="H196" i="74"/>
  <c r="H195" i="74"/>
  <c r="G187" i="74"/>
  <c r="M186" i="74"/>
  <c r="J186" i="74"/>
  <c r="K186" i="74" s="1"/>
  <c r="L186" i="74" s="1"/>
  <c r="I186" i="74"/>
  <c r="H186" i="74"/>
  <c r="L185" i="74"/>
  <c r="M185" i="74" s="1"/>
  <c r="K185" i="74"/>
  <c r="H185" i="74"/>
  <c r="I185" i="74" s="1"/>
  <c r="J185" i="74" s="1"/>
  <c r="H184" i="74"/>
  <c r="I184" i="74" s="1"/>
  <c r="J184" i="74" s="1"/>
  <c r="K184" i="74" s="1"/>
  <c r="L184" i="74" s="1"/>
  <c r="M184" i="74" s="1"/>
  <c r="K183" i="74"/>
  <c r="L183" i="74" s="1"/>
  <c r="M183" i="74" s="1"/>
  <c r="H183" i="74"/>
  <c r="I183" i="74" s="1"/>
  <c r="J183" i="74" s="1"/>
  <c r="H182" i="74"/>
  <c r="G180" i="74"/>
  <c r="G189" i="74" s="1"/>
  <c r="H179" i="74"/>
  <c r="I179" i="74" s="1"/>
  <c r="J179" i="74" s="1"/>
  <c r="K179" i="74" s="1"/>
  <c r="L179" i="74" s="1"/>
  <c r="M179" i="74" s="1"/>
  <c r="L178" i="74"/>
  <c r="M178" i="74" s="1"/>
  <c r="H178" i="74"/>
  <c r="I178" i="74" s="1"/>
  <c r="J178" i="74" s="1"/>
  <c r="K178" i="74" s="1"/>
  <c r="J177" i="74"/>
  <c r="H177" i="74"/>
  <c r="I177" i="74" s="1"/>
  <c r="G164" i="74"/>
  <c r="H162" i="74"/>
  <c r="I162" i="74" s="1"/>
  <c r="J162" i="74" s="1"/>
  <c r="K162" i="74" s="1"/>
  <c r="L162" i="74" s="1"/>
  <c r="M162" i="74" s="1"/>
  <c r="I161" i="74"/>
  <c r="J161" i="74" s="1"/>
  <c r="K161" i="74" s="1"/>
  <c r="L161" i="74" s="1"/>
  <c r="M161" i="74" s="1"/>
  <c r="H161" i="74"/>
  <c r="H160" i="74"/>
  <c r="I160" i="74" s="1"/>
  <c r="J160" i="74" s="1"/>
  <c r="K160" i="74" s="1"/>
  <c r="L160" i="74" s="1"/>
  <c r="M160" i="74" s="1"/>
  <c r="H159" i="74"/>
  <c r="I159" i="74" s="1"/>
  <c r="J159" i="74" s="1"/>
  <c r="K159" i="74" s="1"/>
  <c r="L159" i="74" s="1"/>
  <c r="M159" i="74" s="1"/>
  <c r="H158" i="74"/>
  <c r="I158" i="74" s="1"/>
  <c r="G152" i="74"/>
  <c r="L150" i="74"/>
  <c r="M150" i="74" s="1"/>
  <c r="H150" i="74"/>
  <c r="I150" i="74" s="1"/>
  <c r="J150" i="74" s="1"/>
  <c r="K150" i="74" s="1"/>
  <c r="H149" i="74"/>
  <c r="I149" i="74" s="1"/>
  <c r="J149" i="74" s="1"/>
  <c r="K149" i="74" s="1"/>
  <c r="L149" i="74" s="1"/>
  <c r="M149" i="74" s="1"/>
  <c r="M148" i="74"/>
  <c r="H148" i="74"/>
  <c r="I148" i="74" s="1"/>
  <c r="J148" i="74" s="1"/>
  <c r="K148" i="74" s="1"/>
  <c r="L148" i="74" s="1"/>
  <c r="H147" i="74"/>
  <c r="I147" i="74" s="1"/>
  <c r="J147" i="74" s="1"/>
  <c r="K147" i="74" s="1"/>
  <c r="J146" i="74"/>
  <c r="K146" i="74" s="1"/>
  <c r="L146" i="74" s="1"/>
  <c r="H146" i="74"/>
  <c r="I146" i="74" s="1"/>
  <c r="G136" i="74"/>
  <c r="I135" i="74"/>
  <c r="J135" i="74" s="1"/>
  <c r="K135" i="74" s="1"/>
  <c r="L135" i="74" s="1"/>
  <c r="M135" i="74" s="1"/>
  <c r="H135" i="74"/>
  <c r="H134" i="74"/>
  <c r="I134" i="74" s="1"/>
  <c r="J134" i="74" s="1"/>
  <c r="K134" i="74" s="1"/>
  <c r="L134" i="74" s="1"/>
  <c r="M134" i="74" s="1"/>
  <c r="M133" i="74"/>
  <c r="I133" i="74"/>
  <c r="J133" i="74" s="1"/>
  <c r="K133" i="74" s="1"/>
  <c r="L133" i="74" s="1"/>
  <c r="H133" i="74"/>
  <c r="I132" i="74"/>
  <c r="J132" i="74" s="1"/>
  <c r="K132" i="74" s="1"/>
  <c r="L132" i="74" s="1"/>
  <c r="M132" i="74" s="1"/>
  <c r="H132" i="74"/>
  <c r="I131" i="74"/>
  <c r="J131" i="74" s="1"/>
  <c r="K131" i="74" s="1"/>
  <c r="H131" i="74"/>
  <c r="G129" i="74"/>
  <c r="G138" i="74" s="1"/>
  <c r="H128" i="74"/>
  <c r="I128" i="74" s="1"/>
  <c r="J128" i="74" s="1"/>
  <c r="K128" i="74" s="1"/>
  <c r="L128" i="74" s="1"/>
  <c r="M128" i="74" s="1"/>
  <c r="H127" i="74"/>
  <c r="I127" i="74" s="1"/>
  <c r="J127" i="74" s="1"/>
  <c r="K127" i="74" s="1"/>
  <c r="L127" i="74" s="1"/>
  <c r="M127" i="74" s="1"/>
  <c r="K126" i="74"/>
  <c r="L126" i="74" s="1"/>
  <c r="M126" i="74" s="1"/>
  <c r="J126" i="74"/>
  <c r="H126" i="74"/>
  <c r="I126" i="74" s="1"/>
  <c r="J125" i="74"/>
  <c r="K125" i="74" s="1"/>
  <c r="L125" i="74" s="1"/>
  <c r="M125" i="74" s="1"/>
  <c r="I125" i="74"/>
  <c r="H125" i="74"/>
  <c r="K124" i="74"/>
  <c r="L124" i="74" s="1"/>
  <c r="M124" i="74" s="1"/>
  <c r="J124" i="74"/>
  <c r="H124" i="74"/>
  <c r="I124" i="74" s="1"/>
  <c r="I120" i="74"/>
  <c r="J120" i="74" s="1"/>
  <c r="K120" i="74" s="1"/>
  <c r="L120" i="74" s="1"/>
  <c r="M120" i="74" s="1"/>
  <c r="H120" i="74"/>
  <c r="H119" i="74"/>
  <c r="I119" i="74" s="1"/>
  <c r="J119" i="74" s="1"/>
  <c r="K119" i="74" s="1"/>
  <c r="L119" i="74" s="1"/>
  <c r="M119" i="74" s="1"/>
  <c r="L118" i="74"/>
  <c r="M118" i="74" s="1"/>
  <c r="H118" i="74"/>
  <c r="I118" i="74" s="1"/>
  <c r="J118" i="74" s="1"/>
  <c r="K118" i="74" s="1"/>
  <c r="H117" i="74"/>
  <c r="I117" i="74" s="1"/>
  <c r="J117" i="74" s="1"/>
  <c r="K117" i="74" s="1"/>
  <c r="L117" i="74" s="1"/>
  <c r="M117" i="74" s="1"/>
  <c r="G113" i="74"/>
  <c r="C85" i="74"/>
  <c r="G72" i="74"/>
  <c r="G77" i="74" s="1"/>
  <c r="D72" i="74"/>
  <c r="D77" i="74" s="1"/>
  <c r="D71" i="74"/>
  <c r="D76" i="74" s="1"/>
  <c r="G63" i="74"/>
  <c r="I62" i="74"/>
  <c r="J62" i="74" s="1"/>
  <c r="K62" i="74" s="1"/>
  <c r="L62" i="74" s="1"/>
  <c r="M62" i="74" s="1"/>
  <c r="H62" i="74"/>
  <c r="G60" i="74"/>
  <c r="G64" i="74" s="1"/>
  <c r="G61" i="74" s="1"/>
  <c r="I59" i="74"/>
  <c r="J59" i="74" s="1"/>
  <c r="K59" i="74" s="1"/>
  <c r="L59" i="74" s="1"/>
  <c r="M59" i="74" s="1"/>
  <c r="H59" i="74"/>
  <c r="H58" i="74"/>
  <c r="G57" i="74"/>
  <c r="G100" i="74" s="1"/>
  <c r="I56" i="74"/>
  <c r="J56" i="74" s="1"/>
  <c r="K56" i="74" s="1"/>
  <c r="L56" i="74" s="1"/>
  <c r="M56" i="74" s="1"/>
  <c r="H56" i="74"/>
  <c r="H55" i="74"/>
  <c r="I55" i="74" s="1"/>
  <c r="H51" i="74"/>
  <c r="I51" i="74" s="1"/>
  <c r="J51" i="74" s="1"/>
  <c r="K51" i="74" s="1"/>
  <c r="L51" i="74" s="1"/>
  <c r="M51" i="74" s="1"/>
  <c r="G48" i="74"/>
  <c r="G52" i="74" s="1"/>
  <c r="G47" i="74"/>
  <c r="G45" i="74"/>
  <c r="G44" i="74"/>
  <c r="I36" i="74"/>
  <c r="H36" i="74"/>
  <c r="H113" i="74" s="1"/>
  <c r="H35" i="74"/>
  <c r="G35" i="74"/>
  <c r="H34" i="74"/>
  <c r="I34" i="74" s="1"/>
  <c r="J34" i="74" s="1"/>
  <c r="K34" i="74" s="1"/>
  <c r="L34" i="74" s="1"/>
  <c r="M34" i="74" s="1"/>
  <c r="G29" i="74"/>
  <c r="I28" i="74"/>
  <c r="J28" i="74" s="1"/>
  <c r="K28" i="74" s="1"/>
  <c r="L28" i="74" s="1"/>
  <c r="M28" i="74" s="1"/>
  <c r="H28" i="74"/>
  <c r="I27" i="74"/>
  <c r="I29" i="74" s="1"/>
  <c r="H27" i="74"/>
  <c r="H29" i="74" s="1"/>
  <c r="H26" i="74"/>
  <c r="H95" i="74" s="1"/>
  <c r="G26" i="74"/>
  <c r="G106" i="74" s="1"/>
  <c r="H25" i="74"/>
  <c r="I24" i="74"/>
  <c r="H24" i="74"/>
  <c r="H18" i="74"/>
  <c r="I18" i="74" s="1"/>
  <c r="J18" i="74" s="1"/>
  <c r="K18" i="74" s="1"/>
  <c r="L18" i="74" s="1"/>
  <c r="M18" i="74" s="1"/>
  <c r="M8" i="74"/>
  <c r="M86" i="74" s="1"/>
  <c r="M170" i="74" s="1"/>
  <c r="L8" i="74"/>
  <c r="L86" i="74" s="1"/>
  <c r="L170" i="74" s="1"/>
  <c r="K8" i="74"/>
  <c r="K86" i="74" s="1"/>
  <c r="K170" i="74" s="1"/>
  <c r="J8" i="74"/>
  <c r="J86" i="74" s="1"/>
  <c r="J170" i="74" s="1"/>
  <c r="I8" i="74"/>
  <c r="I86" i="74" s="1"/>
  <c r="I170" i="74" s="1"/>
  <c r="H8" i="74"/>
  <c r="H86" i="74" s="1"/>
  <c r="H170" i="74" s="1"/>
  <c r="G8" i="74"/>
  <c r="G86" i="74" s="1"/>
  <c r="G170" i="74" s="1"/>
  <c r="C5" i="74"/>
  <c r="G269" i="73"/>
  <c r="H267" i="73"/>
  <c r="I267" i="73" s="1"/>
  <c r="J267" i="73" s="1"/>
  <c r="K267" i="73" s="1"/>
  <c r="L267" i="73" s="1"/>
  <c r="M267" i="73" s="1"/>
  <c r="I266" i="73"/>
  <c r="H266" i="73"/>
  <c r="G258" i="73"/>
  <c r="G252" i="73"/>
  <c r="G260" i="73" s="1"/>
  <c r="G273" i="73" s="1"/>
  <c r="G274" i="73" s="1"/>
  <c r="C241" i="73"/>
  <c r="G230" i="73"/>
  <c r="L228" i="73"/>
  <c r="M228" i="73" s="1"/>
  <c r="H228" i="73"/>
  <c r="I228" i="73" s="1"/>
  <c r="J228" i="73" s="1"/>
  <c r="K228" i="73" s="1"/>
  <c r="J227" i="73"/>
  <c r="K227" i="73" s="1"/>
  <c r="L227" i="73" s="1"/>
  <c r="M227" i="73" s="1"/>
  <c r="H227" i="73"/>
  <c r="I227" i="73" s="1"/>
  <c r="L226" i="73"/>
  <c r="M226" i="73" s="1"/>
  <c r="H226" i="73"/>
  <c r="I226" i="73" s="1"/>
  <c r="J226" i="73" s="1"/>
  <c r="K226" i="73" s="1"/>
  <c r="J225" i="73"/>
  <c r="K225" i="73" s="1"/>
  <c r="L225" i="73" s="1"/>
  <c r="M225" i="73" s="1"/>
  <c r="H225" i="73"/>
  <c r="I225" i="73" s="1"/>
  <c r="L224" i="73"/>
  <c r="M224" i="73" s="1"/>
  <c r="H224" i="73"/>
  <c r="I224" i="73" s="1"/>
  <c r="J224" i="73" s="1"/>
  <c r="K224" i="73" s="1"/>
  <c r="H223" i="73"/>
  <c r="G217" i="73"/>
  <c r="H215" i="73"/>
  <c r="I215" i="73" s="1"/>
  <c r="J215" i="73" s="1"/>
  <c r="K215" i="73" s="1"/>
  <c r="L215" i="73" s="1"/>
  <c r="M215" i="73" s="1"/>
  <c r="I214" i="73"/>
  <c r="J214" i="73" s="1"/>
  <c r="K214" i="73" s="1"/>
  <c r="L214" i="73" s="1"/>
  <c r="M214" i="73" s="1"/>
  <c r="H214" i="73"/>
  <c r="K213" i="73"/>
  <c r="L213" i="73" s="1"/>
  <c r="M213" i="73" s="1"/>
  <c r="H213" i="73"/>
  <c r="I213" i="73" s="1"/>
  <c r="J213" i="73" s="1"/>
  <c r="H212" i="73"/>
  <c r="I212" i="73" s="1"/>
  <c r="J212" i="73" s="1"/>
  <c r="K212" i="73" s="1"/>
  <c r="L212" i="73" s="1"/>
  <c r="M212" i="73" s="1"/>
  <c r="H211" i="73"/>
  <c r="I211" i="73" s="1"/>
  <c r="J211" i="73" s="1"/>
  <c r="K211" i="73" s="1"/>
  <c r="L211" i="73" s="1"/>
  <c r="M211" i="73" s="1"/>
  <c r="I210" i="73"/>
  <c r="J210" i="73" s="1"/>
  <c r="K210" i="73" s="1"/>
  <c r="L210" i="73" s="1"/>
  <c r="M210" i="73" s="1"/>
  <c r="H210" i="73"/>
  <c r="K209" i="73"/>
  <c r="L209" i="73" s="1"/>
  <c r="M209" i="73" s="1"/>
  <c r="H209" i="73"/>
  <c r="I209" i="73" s="1"/>
  <c r="J209" i="73" s="1"/>
  <c r="H208" i="73"/>
  <c r="I208" i="73" s="1"/>
  <c r="J208" i="73" s="1"/>
  <c r="K208" i="73" s="1"/>
  <c r="L208" i="73" s="1"/>
  <c r="M208" i="73" s="1"/>
  <c r="H207" i="73"/>
  <c r="I207" i="73" s="1"/>
  <c r="J207" i="73" s="1"/>
  <c r="K207" i="73" s="1"/>
  <c r="L207" i="73" s="1"/>
  <c r="M207" i="73" s="1"/>
  <c r="I206" i="73"/>
  <c r="H206" i="73"/>
  <c r="G200" i="73"/>
  <c r="G234" i="73" s="1"/>
  <c r="J198" i="73"/>
  <c r="K198" i="73" s="1"/>
  <c r="L198" i="73" s="1"/>
  <c r="M198" i="73" s="1"/>
  <c r="H198" i="73"/>
  <c r="I198" i="73" s="1"/>
  <c r="H197" i="73"/>
  <c r="I197" i="73" s="1"/>
  <c r="J197" i="73" s="1"/>
  <c r="K197" i="73" s="1"/>
  <c r="L197" i="73" s="1"/>
  <c r="M197" i="73" s="1"/>
  <c r="J196" i="73"/>
  <c r="K196" i="73" s="1"/>
  <c r="L196" i="73" s="1"/>
  <c r="M196" i="73" s="1"/>
  <c r="H196" i="73"/>
  <c r="I196" i="73" s="1"/>
  <c r="H195" i="73"/>
  <c r="G187" i="73"/>
  <c r="H186" i="73"/>
  <c r="I186" i="73" s="1"/>
  <c r="J186" i="73" s="1"/>
  <c r="K186" i="73" s="1"/>
  <c r="L186" i="73" s="1"/>
  <c r="M186" i="73" s="1"/>
  <c r="H185" i="73"/>
  <c r="I185" i="73" s="1"/>
  <c r="J185" i="73" s="1"/>
  <c r="K185" i="73" s="1"/>
  <c r="L185" i="73" s="1"/>
  <c r="M185" i="73" s="1"/>
  <c r="H184" i="73"/>
  <c r="I184" i="73" s="1"/>
  <c r="J184" i="73" s="1"/>
  <c r="K184" i="73" s="1"/>
  <c r="L184" i="73" s="1"/>
  <c r="M184" i="73" s="1"/>
  <c r="H183" i="73"/>
  <c r="I183" i="73" s="1"/>
  <c r="J183" i="73" s="1"/>
  <c r="K183" i="73" s="1"/>
  <c r="L183" i="73" s="1"/>
  <c r="M183" i="73" s="1"/>
  <c r="H182" i="73"/>
  <c r="I182" i="73" s="1"/>
  <c r="G180" i="73"/>
  <c r="K179" i="73"/>
  <c r="L179" i="73" s="1"/>
  <c r="M179" i="73" s="1"/>
  <c r="H179" i="73"/>
  <c r="I179" i="73" s="1"/>
  <c r="J179" i="73" s="1"/>
  <c r="H178" i="73"/>
  <c r="I178" i="73" s="1"/>
  <c r="J178" i="73" s="1"/>
  <c r="K178" i="73" s="1"/>
  <c r="L178" i="73" s="1"/>
  <c r="M178" i="73" s="1"/>
  <c r="H177" i="73"/>
  <c r="I177" i="73" s="1"/>
  <c r="G164" i="73"/>
  <c r="H162" i="73"/>
  <c r="I162" i="73" s="1"/>
  <c r="J162" i="73" s="1"/>
  <c r="K162" i="73" s="1"/>
  <c r="L162" i="73" s="1"/>
  <c r="M162" i="73" s="1"/>
  <c r="H161" i="73"/>
  <c r="I161" i="73" s="1"/>
  <c r="J161" i="73" s="1"/>
  <c r="K161" i="73" s="1"/>
  <c r="L161" i="73" s="1"/>
  <c r="M161" i="73" s="1"/>
  <c r="H160" i="73"/>
  <c r="I160" i="73" s="1"/>
  <c r="J160" i="73" s="1"/>
  <c r="K160" i="73" s="1"/>
  <c r="L160" i="73" s="1"/>
  <c r="M160" i="73" s="1"/>
  <c r="H159" i="73"/>
  <c r="I159" i="73" s="1"/>
  <c r="J159" i="73" s="1"/>
  <c r="K159" i="73" s="1"/>
  <c r="L159" i="73" s="1"/>
  <c r="M159" i="73" s="1"/>
  <c r="H158" i="73"/>
  <c r="G152" i="73"/>
  <c r="H150" i="73"/>
  <c r="I149" i="73"/>
  <c r="J149" i="73" s="1"/>
  <c r="K149" i="73" s="1"/>
  <c r="L149" i="73" s="1"/>
  <c r="M149" i="73" s="1"/>
  <c r="H149" i="73"/>
  <c r="I148" i="73"/>
  <c r="J148" i="73" s="1"/>
  <c r="K148" i="73" s="1"/>
  <c r="L148" i="73" s="1"/>
  <c r="M148" i="73" s="1"/>
  <c r="H148" i="73"/>
  <c r="H147" i="73"/>
  <c r="I147" i="73" s="1"/>
  <c r="J147" i="73" s="1"/>
  <c r="K147" i="73" s="1"/>
  <c r="L147" i="73" s="1"/>
  <c r="M147" i="73" s="1"/>
  <c r="K146" i="73"/>
  <c r="I146" i="73"/>
  <c r="J146" i="73" s="1"/>
  <c r="H146" i="73"/>
  <c r="G136" i="73"/>
  <c r="H135" i="73"/>
  <c r="I135" i="73" s="1"/>
  <c r="J135" i="73" s="1"/>
  <c r="K135" i="73" s="1"/>
  <c r="L135" i="73" s="1"/>
  <c r="M135" i="73" s="1"/>
  <c r="H134" i="73"/>
  <c r="I134" i="73" s="1"/>
  <c r="J134" i="73" s="1"/>
  <c r="K134" i="73" s="1"/>
  <c r="L134" i="73" s="1"/>
  <c r="M134" i="73" s="1"/>
  <c r="H133" i="73"/>
  <c r="I133" i="73" s="1"/>
  <c r="J133" i="73" s="1"/>
  <c r="K133" i="73" s="1"/>
  <c r="L133" i="73" s="1"/>
  <c r="M133" i="73" s="1"/>
  <c r="H132" i="73"/>
  <c r="I132" i="73" s="1"/>
  <c r="J132" i="73" s="1"/>
  <c r="K132" i="73" s="1"/>
  <c r="L132" i="73" s="1"/>
  <c r="M132" i="73" s="1"/>
  <c r="H131" i="73"/>
  <c r="G129" i="73"/>
  <c r="G138" i="73" s="1"/>
  <c r="I128" i="73"/>
  <c r="J128" i="73" s="1"/>
  <c r="K128" i="73" s="1"/>
  <c r="L128" i="73" s="1"/>
  <c r="M128" i="73" s="1"/>
  <c r="H128" i="73"/>
  <c r="I127" i="73"/>
  <c r="J127" i="73" s="1"/>
  <c r="K127" i="73" s="1"/>
  <c r="L127" i="73" s="1"/>
  <c r="M127" i="73" s="1"/>
  <c r="H127" i="73"/>
  <c r="M126" i="73"/>
  <c r="I126" i="73"/>
  <c r="J126" i="73" s="1"/>
  <c r="K126" i="73" s="1"/>
  <c r="L126" i="73" s="1"/>
  <c r="H126" i="73"/>
  <c r="H125" i="73"/>
  <c r="I124" i="73"/>
  <c r="H124" i="73"/>
  <c r="I120" i="73"/>
  <c r="J120" i="73" s="1"/>
  <c r="K120" i="73" s="1"/>
  <c r="L120" i="73" s="1"/>
  <c r="M120" i="73" s="1"/>
  <c r="H120" i="73"/>
  <c r="H119" i="73"/>
  <c r="I119" i="73" s="1"/>
  <c r="J119" i="73" s="1"/>
  <c r="K119" i="73" s="1"/>
  <c r="L119" i="73" s="1"/>
  <c r="M119" i="73" s="1"/>
  <c r="I118" i="73"/>
  <c r="J118" i="73" s="1"/>
  <c r="K118" i="73" s="1"/>
  <c r="L118" i="73" s="1"/>
  <c r="M118" i="73" s="1"/>
  <c r="H118" i="73"/>
  <c r="I117" i="73"/>
  <c r="J117" i="73" s="1"/>
  <c r="K117" i="73" s="1"/>
  <c r="L117" i="73" s="1"/>
  <c r="M117" i="73" s="1"/>
  <c r="H117" i="73"/>
  <c r="G113" i="73"/>
  <c r="C85" i="73"/>
  <c r="G72" i="73"/>
  <c r="G77" i="73" s="1"/>
  <c r="D72" i="73"/>
  <c r="D77" i="73" s="1"/>
  <c r="D71" i="73"/>
  <c r="D76" i="73" s="1"/>
  <c r="G63" i="73"/>
  <c r="H62" i="73"/>
  <c r="I62" i="73" s="1"/>
  <c r="J62" i="73" s="1"/>
  <c r="K62" i="73" s="1"/>
  <c r="L62" i="73" s="1"/>
  <c r="M62" i="73" s="1"/>
  <c r="G60" i="73"/>
  <c r="J59" i="73"/>
  <c r="K59" i="73" s="1"/>
  <c r="L59" i="73" s="1"/>
  <c r="M59" i="73" s="1"/>
  <c r="H59" i="73"/>
  <c r="I59" i="73" s="1"/>
  <c r="H58" i="73"/>
  <c r="G57" i="73"/>
  <c r="H56" i="73"/>
  <c r="H57" i="73" s="1"/>
  <c r="H55" i="73"/>
  <c r="I55" i="73" s="1"/>
  <c r="I51" i="73"/>
  <c r="J51" i="73" s="1"/>
  <c r="K51" i="73" s="1"/>
  <c r="L51" i="73" s="1"/>
  <c r="M51" i="73" s="1"/>
  <c r="H51" i="73"/>
  <c r="G48" i="73"/>
  <c r="H36" i="73"/>
  <c r="H113" i="73" s="1"/>
  <c r="G35" i="73"/>
  <c r="I34" i="73"/>
  <c r="J34" i="73" s="1"/>
  <c r="K34" i="73" s="1"/>
  <c r="L34" i="73" s="1"/>
  <c r="M34" i="73" s="1"/>
  <c r="H34" i="73"/>
  <c r="G29" i="73"/>
  <c r="I28" i="73"/>
  <c r="J28" i="73" s="1"/>
  <c r="K28" i="73" s="1"/>
  <c r="L28" i="73" s="1"/>
  <c r="M28" i="73" s="1"/>
  <c r="H28" i="73"/>
  <c r="H35" i="73" s="1"/>
  <c r="H27" i="73"/>
  <c r="I27" i="73" s="1"/>
  <c r="G26" i="73"/>
  <c r="G32" i="73" s="1"/>
  <c r="G112" i="73" s="1"/>
  <c r="I25" i="73"/>
  <c r="H25" i="73"/>
  <c r="H24" i="73"/>
  <c r="I18" i="73"/>
  <c r="J18" i="73" s="1"/>
  <c r="K18" i="73" s="1"/>
  <c r="L18" i="73" s="1"/>
  <c r="M18" i="73" s="1"/>
  <c r="H18" i="73"/>
  <c r="M8" i="73"/>
  <c r="M86" i="73" s="1"/>
  <c r="M170" i="73" s="1"/>
  <c r="L8" i="73"/>
  <c r="L86" i="73" s="1"/>
  <c r="L170" i="73" s="1"/>
  <c r="K8" i="73"/>
  <c r="K86" i="73" s="1"/>
  <c r="K170" i="73" s="1"/>
  <c r="J8" i="73"/>
  <c r="J86" i="73" s="1"/>
  <c r="J170" i="73" s="1"/>
  <c r="I8" i="73"/>
  <c r="I86" i="73" s="1"/>
  <c r="I170" i="73" s="1"/>
  <c r="H8" i="73"/>
  <c r="H86" i="73" s="1"/>
  <c r="H170" i="73" s="1"/>
  <c r="G8" i="73"/>
  <c r="G86" i="73" s="1"/>
  <c r="G170" i="73" s="1"/>
  <c r="C5" i="73"/>
  <c r="G269" i="72"/>
  <c r="K267" i="72"/>
  <c r="L267" i="72" s="1"/>
  <c r="M267" i="72" s="1"/>
  <c r="H267" i="72"/>
  <c r="I267" i="72" s="1"/>
  <c r="J267" i="72" s="1"/>
  <c r="H266" i="72"/>
  <c r="I266" i="72" s="1"/>
  <c r="G258" i="72"/>
  <c r="G260" i="72" s="1"/>
  <c r="G273" i="72" s="1"/>
  <c r="G274" i="72" s="1"/>
  <c r="G252" i="72"/>
  <c r="C241" i="72"/>
  <c r="G230" i="72"/>
  <c r="H228" i="72"/>
  <c r="I228" i="72" s="1"/>
  <c r="J228" i="72" s="1"/>
  <c r="K228" i="72" s="1"/>
  <c r="L228" i="72" s="1"/>
  <c r="M228" i="72" s="1"/>
  <c r="J227" i="72"/>
  <c r="K227" i="72" s="1"/>
  <c r="L227" i="72" s="1"/>
  <c r="M227" i="72" s="1"/>
  <c r="H227" i="72"/>
  <c r="I227" i="72" s="1"/>
  <c r="H226" i="72"/>
  <c r="I226" i="72" s="1"/>
  <c r="J226" i="72" s="1"/>
  <c r="K226" i="72" s="1"/>
  <c r="L226" i="72" s="1"/>
  <c r="M226" i="72" s="1"/>
  <c r="H225" i="72"/>
  <c r="I225" i="72" s="1"/>
  <c r="J225" i="72" s="1"/>
  <c r="K225" i="72" s="1"/>
  <c r="L225" i="72" s="1"/>
  <c r="M225" i="72" s="1"/>
  <c r="H224" i="72"/>
  <c r="I224" i="72" s="1"/>
  <c r="J224" i="72" s="1"/>
  <c r="K224" i="72" s="1"/>
  <c r="L224" i="72" s="1"/>
  <c r="M224" i="72" s="1"/>
  <c r="H223" i="72"/>
  <c r="G217" i="72"/>
  <c r="H215" i="72"/>
  <c r="I215" i="72" s="1"/>
  <c r="J215" i="72" s="1"/>
  <c r="K215" i="72" s="1"/>
  <c r="L215" i="72" s="1"/>
  <c r="M215" i="72" s="1"/>
  <c r="H214" i="72"/>
  <c r="I214" i="72" s="1"/>
  <c r="J214" i="72" s="1"/>
  <c r="K214" i="72" s="1"/>
  <c r="L214" i="72" s="1"/>
  <c r="M214" i="72" s="1"/>
  <c r="H213" i="72"/>
  <c r="I213" i="72" s="1"/>
  <c r="J213" i="72" s="1"/>
  <c r="K213" i="72" s="1"/>
  <c r="L213" i="72" s="1"/>
  <c r="M213" i="72" s="1"/>
  <c r="J212" i="72"/>
  <c r="K212" i="72" s="1"/>
  <c r="L212" i="72" s="1"/>
  <c r="M212" i="72" s="1"/>
  <c r="I212" i="72"/>
  <c r="H212" i="72"/>
  <c r="H211" i="72"/>
  <c r="I211" i="72" s="1"/>
  <c r="J211" i="72" s="1"/>
  <c r="K211" i="72" s="1"/>
  <c r="L211" i="72" s="1"/>
  <c r="M211" i="72" s="1"/>
  <c r="I210" i="72"/>
  <c r="J210" i="72" s="1"/>
  <c r="K210" i="72" s="1"/>
  <c r="L210" i="72" s="1"/>
  <c r="M210" i="72" s="1"/>
  <c r="H210" i="72"/>
  <c r="H209" i="72"/>
  <c r="I209" i="72" s="1"/>
  <c r="J209" i="72" s="1"/>
  <c r="K209" i="72" s="1"/>
  <c r="L209" i="72" s="1"/>
  <c r="M209" i="72" s="1"/>
  <c r="I208" i="72"/>
  <c r="J208" i="72" s="1"/>
  <c r="K208" i="72" s="1"/>
  <c r="L208" i="72" s="1"/>
  <c r="M208" i="72" s="1"/>
  <c r="H208" i="72"/>
  <c r="H207" i="72"/>
  <c r="I207" i="72" s="1"/>
  <c r="J207" i="72" s="1"/>
  <c r="K207" i="72" s="1"/>
  <c r="L207" i="72" s="1"/>
  <c r="M207" i="72" s="1"/>
  <c r="I206" i="72"/>
  <c r="J206" i="72" s="1"/>
  <c r="H206" i="72"/>
  <c r="G200" i="72"/>
  <c r="J198" i="72"/>
  <c r="K198" i="72" s="1"/>
  <c r="L198" i="72" s="1"/>
  <c r="M198" i="72" s="1"/>
  <c r="H198" i="72"/>
  <c r="I198" i="72" s="1"/>
  <c r="H197" i="72"/>
  <c r="I197" i="72" s="1"/>
  <c r="J197" i="72" s="1"/>
  <c r="K197" i="72" s="1"/>
  <c r="L197" i="72" s="1"/>
  <c r="M197" i="72" s="1"/>
  <c r="J196" i="72"/>
  <c r="K196" i="72" s="1"/>
  <c r="L196" i="72" s="1"/>
  <c r="M196" i="72" s="1"/>
  <c r="H196" i="72"/>
  <c r="I196" i="72" s="1"/>
  <c r="H195" i="72"/>
  <c r="G187" i="72"/>
  <c r="H186" i="72"/>
  <c r="I186" i="72" s="1"/>
  <c r="J186" i="72" s="1"/>
  <c r="K186" i="72" s="1"/>
  <c r="L186" i="72" s="1"/>
  <c r="M186" i="72" s="1"/>
  <c r="H185" i="72"/>
  <c r="I185" i="72" s="1"/>
  <c r="J185" i="72" s="1"/>
  <c r="K185" i="72" s="1"/>
  <c r="L185" i="72" s="1"/>
  <c r="M185" i="72" s="1"/>
  <c r="J184" i="72"/>
  <c r="K184" i="72" s="1"/>
  <c r="L184" i="72" s="1"/>
  <c r="M184" i="72" s="1"/>
  <c r="H184" i="72"/>
  <c r="I184" i="72" s="1"/>
  <c r="H183" i="72"/>
  <c r="H182" i="72"/>
  <c r="I182" i="72" s="1"/>
  <c r="G180" i="72"/>
  <c r="G189" i="72" s="1"/>
  <c r="H179" i="72"/>
  <c r="H178" i="72"/>
  <c r="I178" i="72" s="1"/>
  <c r="J178" i="72" s="1"/>
  <c r="K178" i="72" s="1"/>
  <c r="L178" i="72" s="1"/>
  <c r="M178" i="72" s="1"/>
  <c r="H177" i="72"/>
  <c r="I177" i="72" s="1"/>
  <c r="J177" i="72" s="1"/>
  <c r="G164" i="72"/>
  <c r="H162" i="72"/>
  <c r="I162" i="72" s="1"/>
  <c r="J162" i="72" s="1"/>
  <c r="K162" i="72" s="1"/>
  <c r="L162" i="72" s="1"/>
  <c r="M162" i="72" s="1"/>
  <c r="H161" i="72"/>
  <c r="I161" i="72" s="1"/>
  <c r="J161" i="72" s="1"/>
  <c r="K161" i="72" s="1"/>
  <c r="L161" i="72" s="1"/>
  <c r="M161" i="72" s="1"/>
  <c r="H160" i="72"/>
  <c r="I160" i="72" s="1"/>
  <c r="J160" i="72" s="1"/>
  <c r="K160" i="72" s="1"/>
  <c r="L160" i="72" s="1"/>
  <c r="M160" i="72" s="1"/>
  <c r="H159" i="72"/>
  <c r="I159" i="72" s="1"/>
  <c r="J159" i="72" s="1"/>
  <c r="K159" i="72" s="1"/>
  <c r="L159" i="72" s="1"/>
  <c r="M159" i="72" s="1"/>
  <c r="I158" i="72"/>
  <c r="J158" i="72" s="1"/>
  <c r="H158" i="72"/>
  <c r="G152" i="72"/>
  <c r="H150" i="72"/>
  <c r="I150" i="72" s="1"/>
  <c r="J150" i="72" s="1"/>
  <c r="K150" i="72" s="1"/>
  <c r="L150" i="72" s="1"/>
  <c r="M150" i="72" s="1"/>
  <c r="H149" i="72"/>
  <c r="I149" i="72" s="1"/>
  <c r="J149" i="72" s="1"/>
  <c r="K149" i="72" s="1"/>
  <c r="L149" i="72" s="1"/>
  <c r="M149" i="72" s="1"/>
  <c r="H148" i="72"/>
  <c r="I148" i="72" s="1"/>
  <c r="J148" i="72" s="1"/>
  <c r="K148" i="72" s="1"/>
  <c r="L148" i="72" s="1"/>
  <c r="M148" i="72" s="1"/>
  <c r="H147" i="72"/>
  <c r="I147" i="72" s="1"/>
  <c r="J147" i="72" s="1"/>
  <c r="K147" i="72" s="1"/>
  <c r="L147" i="72" s="1"/>
  <c r="M147" i="72" s="1"/>
  <c r="H146" i="72"/>
  <c r="G136" i="72"/>
  <c r="I135" i="72"/>
  <c r="J135" i="72" s="1"/>
  <c r="K135" i="72" s="1"/>
  <c r="L135" i="72" s="1"/>
  <c r="M135" i="72" s="1"/>
  <c r="H135" i="72"/>
  <c r="H134" i="72"/>
  <c r="I134" i="72" s="1"/>
  <c r="J134" i="72" s="1"/>
  <c r="K134" i="72" s="1"/>
  <c r="L134" i="72" s="1"/>
  <c r="M134" i="72" s="1"/>
  <c r="I133" i="72"/>
  <c r="J133" i="72" s="1"/>
  <c r="K133" i="72" s="1"/>
  <c r="L133" i="72" s="1"/>
  <c r="M133" i="72" s="1"/>
  <c r="H133" i="72"/>
  <c r="H132" i="72"/>
  <c r="I132" i="72" s="1"/>
  <c r="J132" i="72" s="1"/>
  <c r="K132" i="72" s="1"/>
  <c r="L132" i="72" s="1"/>
  <c r="M132" i="72" s="1"/>
  <c r="H131" i="72"/>
  <c r="G129" i="72"/>
  <c r="G138" i="72" s="1"/>
  <c r="H128" i="72"/>
  <c r="I128" i="72" s="1"/>
  <c r="J128" i="72" s="1"/>
  <c r="K128" i="72" s="1"/>
  <c r="L128" i="72" s="1"/>
  <c r="M128" i="72" s="1"/>
  <c r="H127" i="72"/>
  <c r="I127" i="72" s="1"/>
  <c r="J127" i="72" s="1"/>
  <c r="K127" i="72" s="1"/>
  <c r="L127" i="72" s="1"/>
  <c r="M127" i="72" s="1"/>
  <c r="J126" i="72"/>
  <c r="K126" i="72" s="1"/>
  <c r="L126" i="72" s="1"/>
  <c r="M126" i="72" s="1"/>
  <c r="I126" i="72"/>
  <c r="H126" i="72"/>
  <c r="H125" i="72"/>
  <c r="I125" i="72" s="1"/>
  <c r="J125" i="72" s="1"/>
  <c r="K125" i="72" s="1"/>
  <c r="L125" i="72" s="1"/>
  <c r="M125" i="72" s="1"/>
  <c r="I124" i="72"/>
  <c r="H124" i="72"/>
  <c r="H120" i="72"/>
  <c r="I120" i="72" s="1"/>
  <c r="J120" i="72" s="1"/>
  <c r="K120" i="72" s="1"/>
  <c r="L120" i="72" s="1"/>
  <c r="M120" i="72" s="1"/>
  <c r="M119" i="72"/>
  <c r="I119" i="72"/>
  <c r="J119" i="72" s="1"/>
  <c r="K119" i="72" s="1"/>
  <c r="L119" i="72" s="1"/>
  <c r="H119" i="72"/>
  <c r="H118" i="72"/>
  <c r="I118" i="72" s="1"/>
  <c r="J118" i="72" s="1"/>
  <c r="K118" i="72" s="1"/>
  <c r="L118" i="72" s="1"/>
  <c r="M118" i="72" s="1"/>
  <c r="H117" i="72"/>
  <c r="I117" i="72" s="1"/>
  <c r="J117" i="72" s="1"/>
  <c r="K117" i="72" s="1"/>
  <c r="L117" i="72" s="1"/>
  <c r="M117" i="72" s="1"/>
  <c r="G113" i="72"/>
  <c r="G86" i="72"/>
  <c r="G170" i="72" s="1"/>
  <c r="C85" i="72"/>
  <c r="D72" i="72"/>
  <c r="D77" i="72" s="1"/>
  <c r="D71" i="72"/>
  <c r="D76" i="72" s="1"/>
  <c r="G63" i="72"/>
  <c r="H62" i="72"/>
  <c r="I62" i="72" s="1"/>
  <c r="J62" i="72" s="1"/>
  <c r="K62" i="72" s="1"/>
  <c r="L62" i="72" s="1"/>
  <c r="M62" i="72" s="1"/>
  <c r="G60" i="72"/>
  <c r="H59" i="72"/>
  <c r="I59" i="72" s="1"/>
  <c r="J59" i="72" s="1"/>
  <c r="K59" i="72" s="1"/>
  <c r="L59" i="72" s="1"/>
  <c r="M59" i="72" s="1"/>
  <c r="H58" i="72"/>
  <c r="G57" i="72"/>
  <c r="G100" i="72" s="1"/>
  <c r="H56" i="72"/>
  <c r="I56" i="72" s="1"/>
  <c r="J56" i="72" s="1"/>
  <c r="K56" i="72" s="1"/>
  <c r="L56" i="72" s="1"/>
  <c r="M56" i="72" s="1"/>
  <c r="H55" i="72"/>
  <c r="I55" i="72" s="1"/>
  <c r="H51" i="72"/>
  <c r="I51" i="72" s="1"/>
  <c r="J51" i="72" s="1"/>
  <c r="K51" i="72" s="1"/>
  <c r="L51" i="72" s="1"/>
  <c r="M51" i="72" s="1"/>
  <c r="G48" i="72"/>
  <c r="G45" i="72"/>
  <c r="H36" i="72"/>
  <c r="H113" i="72" s="1"/>
  <c r="G35" i="72"/>
  <c r="I34" i="72"/>
  <c r="J34" i="72" s="1"/>
  <c r="K34" i="72" s="1"/>
  <c r="L34" i="72" s="1"/>
  <c r="M34" i="72" s="1"/>
  <c r="H34" i="72"/>
  <c r="G29" i="72"/>
  <c r="H28" i="72"/>
  <c r="I28" i="72" s="1"/>
  <c r="J28" i="72" s="1"/>
  <c r="K28" i="72" s="1"/>
  <c r="L28" i="72" s="1"/>
  <c r="M28" i="72" s="1"/>
  <c r="H27" i="72"/>
  <c r="G26" i="72"/>
  <c r="G106" i="72" s="1"/>
  <c r="H25" i="72"/>
  <c r="I25" i="72" s="1"/>
  <c r="J25" i="72" s="1"/>
  <c r="H24" i="72"/>
  <c r="H18" i="72"/>
  <c r="I18" i="72" s="1"/>
  <c r="J18" i="72" s="1"/>
  <c r="K18" i="72" s="1"/>
  <c r="L18" i="72" s="1"/>
  <c r="M18" i="72" s="1"/>
  <c r="M8" i="72"/>
  <c r="M86" i="72" s="1"/>
  <c r="M170" i="72" s="1"/>
  <c r="L8" i="72"/>
  <c r="L86" i="72" s="1"/>
  <c r="L170" i="72" s="1"/>
  <c r="K8" i="72"/>
  <c r="K86" i="72" s="1"/>
  <c r="K170" i="72" s="1"/>
  <c r="J8" i="72"/>
  <c r="J86" i="72" s="1"/>
  <c r="J170" i="72" s="1"/>
  <c r="I8" i="72"/>
  <c r="I86" i="72" s="1"/>
  <c r="I170" i="72" s="1"/>
  <c r="H8" i="72"/>
  <c r="H86" i="72" s="1"/>
  <c r="H170" i="72" s="1"/>
  <c r="G8" i="72"/>
  <c r="C5" i="72"/>
  <c r="G269" i="71"/>
  <c r="H267" i="71"/>
  <c r="I267" i="71" s="1"/>
  <c r="J267" i="71" s="1"/>
  <c r="K267" i="71" s="1"/>
  <c r="L267" i="71" s="1"/>
  <c r="M267" i="71" s="1"/>
  <c r="I266" i="71"/>
  <c r="H266" i="71"/>
  <c r="H269" i="71" s="1"/>
  <c r="G258" i="71"/>
  <c r="G252" i="71"/>
  <c r="G260" i="71" s="1"/>
  <c r="G273" i="71" s="1"/>
  <c r="G274" i="71" s="1"/>
  <c r="C241" i="71"/>
  <c r="G230" i="71"/>
  <c r="H228" i="71"/>
  <c r="I228" i="71" s="1"/>
  <c r="J228" i="71" s="1"/>
  <c r="K228" i="71" s="1"/>
  <c r="L228" i="71" s="1"/>
  <c r="M228" i="71" s="1"/>
  <c r="J227" i="71"/>
  <c r="K227" i="71" s="1"/>
  <c r="L227" i="71" s="1"/>
  <c r="M227" i="71" s="1"/>
  <c r="H227" i="71"/>
  <c r="I227" i="71" s="1"/>
  <c r="H226" i="71"/>
  <c r="I226" i="71" s="1"/>
  <c r="J226" i="71" s="1"/>
  <c r="K226" i="71" s="1"/>
  <c r="L226" i="71" s="1"/>
  <c r="M226" i="71" s="1"/>
  <c r="J225" i="71"/>
  <c r="K225" i="71" s="1"/>
  <c r="L225" i="71" s="1"/>
  <c r="M225" i="71" s="1"/>
  <c r="H225" i="71"/>
  <c r="I225" i="71" s="1"/>
  <c r="H224" i="71"/>
  <c r="I224" i="71" s="1"/>
  <c r="J224" i="71" s="1"/>
  <c r="K224" i="71" s="1"/>
  <c r="L224" i="71" s="1"/>
  <c r="M224" i="71" s="1"/>
  <c r="H223" i="71"/>
  <c r="G217" i="71"/>
  <c r="H215" i="71"/>
  <c r="I215" i="71" s="1"/>
  <c r="J215" i="71" s="1"/>
  <c r="K215" i="71" s="1"/>
  <c r="L215" i="71" s="1"/>
  <c r="M215" i="71" s="1"/>
  <c r="I214" i="71"/>
  <c r="J214" i="71" s="1"/>
  <c r="K214" i="71" s="1"/>
  <c r="L214" i="71" s="1"/>
  <c r="M214" i="71" s="1"/>
  <c r="H214" i="71"/>
  <c r="H213" i="71"/>
  <c r="I213" i="71" s="1"/>
  <c r="J213" i="71" s="1"/>
  <c r="K213" i="71" s="1"/>
  <c r="L213" i="71" s="1"/>
  <c r="M213" i="71" s="1"/>
  <c r="H212" i="71"/>
  <c r="I212" i="71" s="1"/>
  <c r="J212" i="71" s="1"/>
  <c r="K212" i="71" s="1"/>
  <c r="L212" i="71" s="1"/>
  <c r="M212" i="71" s="1"/>
  <c r="H211" i="71"/>
  <c r="I211" i="71" s="1"/>
  <c r="J211" i="71" s="1"/>
  <c r="K211" i="71" s="1"/>
  <c r="L211" i="71" s="1"/>
  <c r="M211" i="71" s="1"/>
  <c r="I210" i="71"/>
  <c r="J210" i="71" s="1"/>
  <c r="K210" i="71" s="1"/>
  <c r="L210" i="71" s="1"/>
  <c r="M210" i="71" s="1"/>
  <c r="H210" i="71"/>
  <c r="H209" i="71"/>
  <c r="I209" i="71" s="1"/>
  <c r="J209" i="71" s="1"/>
  <c r="K209" i="71" s="1"/>
  <c r="L209" i="71" s="1"/>
  <c r="M209" i="71" s="1"/>
  <c r="M208" i="71"/>
  <c r="H208" i="71"/>
  <c r="I208" i="71" s="1"/>
  <c r="J208" i="71" s="1"/>
  <c r="K208" i="71" s="1"/>
  <c r="L208" i="71" s="1"/>
  <c r="H207" i="71"/>
  <c r="I207" i="71" s="1"/>
  <c r="J207" i="71" s="1"/>
  <c r="K207" i="71" s="1"/>
  <c r="L207" i="71" s="1"/>
  <c r="M207" i="71" s="1"/>
  <c r="I206" i="71"/>
  <c r="H206" i="71"/>
  <c r="H217" i="71" s="1"/>
  <c r="H256" i="71" s="1"/>
  <c r="G200" i="71"/>
  <c r="G234" i="71" s="1"/>
  <c r="H198" i="71"/>
  <c r="I198" i="71" s="1"/>
  <c r="J198" i="71" s="1"/>
  <c r="K198" i="71" s="1"/>
  <c r="L198" i="71" s="1"/>
  <c r="M198" i="71" s="1"/>
  <c r="H197" i="71"/>
  <c r="I197" i="71" s="1"/>
  <c r="J197" i="71" s="1"/>
  <c r="K197" i="71" s="1"/>
  <c r="L197" i="71" s="1"/>
  <c r="M197" i="71" s="1"/>
  <c r="H196" i="71"/>
  <c r="I196" i="71" s="1"/>
  <c r="J196" i="71" s="1"/>
  <c r="K196" i="71" s="1"/>
  <c r="L196" i="71" s="1"/>
  <c r="M196" i="71" s="1"/>
  <c r="H195" i="71"/>
  <c r="G187" i="71"/>
  <c r="H186" i="71"/>
  <c r="I186" i="71" s="1"/>
  <c r="J186" i="71" s="1"/>
  <c r="K186" i="71" s="1"/>
  <c r="L186" i="71" s="1"/>
  <c r="M186" i="71" s="1"/>
  <c r="H185" i="71"/>
  <c r="I185" i="71" s="1"/>
  <c r="J185" i="71" s="1"/>
  <c r="K185" i="71" s="1"/>
  <c r="L185" i="71" s="1"/>
  <c r="M185" i="71" s="1"/>
  <c r="H184" i="71"/>
  <c r="I184" i="71" s="1"/>
  <c r="J184" i="71" s="1"/>
  <c r="K184" i="71" s="1"/>
  <c r="L184" i="71" s="1"/>
  <c r="M184" i="71" s="1"/>
  <c r="H183" i="71"/>
  <c r="I183" i="71" s="1"/>
  <c r="J183" i="71" s="1"/>
  <c r="K183" i="71" s="1"/>
  <c r="L183" i="71" s="1"/>
  <c r="M183" i="71" s="1"/>
  <c r="H182" i="71"/>
  <c r="I182" i="71" s="1"/>
  <c r="G180" i="71"/>
  <c r="H179" i="71"/>
  <c r="I179" i="71" s="1"/>
  <c r="J179" i="71" s="1"/>
  <c r="K179" i="71" s="1"/>
  <c r="L179" i="71" s="1"/>
  <c r="M179" i="71" s="1"/>
  <c r="H178" i="71"/>
  <c r="I178" i="71" s="1"/>
  <c r="J178" i="71" s="1"/>
  <c r="K178" i="71" s="1"/>
  <c r="L178" i="71" s="1"/>
  <c r="M178" i="71" s="1"/>
  <c r="H177" i="71"/>
  <c r="I177" i="71" s="1"/>
  <c r="G164" i="71"/>
  <c r="H162" i="71"/>
  <c r="I162" i="71" s="1"/>
  <c r="J162" i="71" s="1"/>
  <c r="K162" i="71" s="1"/>
  <c r="L162" i="71" s="1"/>
  <c r="M162" i="71" s="1"/>
  <c r="H161" i="71"/>
  <c r="I161" i="71" s="1"/>
  <c r="J161" i="71" s="1"/>
  <c r="K161" i="71" s="1"/>
  <c r="L161" i="71" s="1"/>
  <c r="M161" i="71" s="1"/>
  <c r="H160" i="71"/>
  <c r="I160" i="71" s="1"/>
  <c r="J160" i="71" s="1"/>
  <c r="K160" i="71" s="1"/>
  <c r="L160" i="71" s="1"/>
  <c r="M160" i="71" s="1"/>
  <c r="H159" i="71"/>
  <c r="I159" i="71" s="1"/>
  <c r="J159" i="71" s="1"/>
  <c r="K159" i="71" s="1"/>
  <c r="L159" i="71" s="1"/>
  <c r="M159" i="71" s="1"/>
  <c r="H158" i="71"/>
  <c r="I158" i="71" s="1"/>
  <c r="J158" i="71" s="1"/>
  <c r="G152" i="71"/>
  <c r="H150" i="71"/>
  <c r="I150" i="71" s="1"/>
  <c r="J150" i="71" s="1"/>
  <c r="K150" i="71" s="1"/>
  <c r="L150" i="71" s="1"/>
  <c r="M150" i="71" s="1"/>
  <c r="H149" i="71"/>
  <c r="I149" i="71" s="1"/>
  <c r="J149" i="71" s="1"/>
  <c r="K149" i="71" s="1"/>
  <c r="L149" i="71" s="1"/>
  <c r="M149" i="71" s="1"/>
  <c r="M148" i="71"/>
  <c r="H148" i="71"/>
  <c r="I148" i="71" s="1"/>
  <c r="J148" i="71" s="1"/>
  <c r="K148" i="71" s="1"/>
  <c r="L148" i="71" s="1"/>
  <c r="H147" i="71"/>
  <c r="I147" i="71" s="1"/>
  <c r="J147" i="71" s="1"/>
  <c r="K147" i="71" s="1"/>
  <c r="L147" i="71" s="1"/>
  <c r="M147" i="71" s="1"/>
  <c r="H146" i="71"/>
  <c r="I146" i="71" s="1"/>
  <c r="G136" i="71"/>
  <c r="J135" i="71"/>
  <c r="K135" i="71" s="1"/>
  <c r="L135" i="71" s="1"/>
  <c r="M135" i="71" s="1"/>
  <c r="H135" i="71"/>
  <c r="I135" i="71" s="1"/>
  <c r="H134" i="71"/>
  <c r="I134" i="71" s="1"/>
  <c r="J134" i="71" s="1"/>
  <c r="K134" i="71" s="1"/>
  <c r="L134" i="71" s="1"/>
  <c r="M134" i="71" s="1"/>
  <c r="J133" i="71"/>
  <c r="K133" i="71" s="1"/>
  <c r="L133" i="71" s="1"/>
  <c r="M133" i="71" s="1"/>
  <c r="H133" i="71"/>
  <c r="I133" i="71" s="1"/>
  <c r="H132" i="71"/>
  <c r="I132" i="71" s="1"/>
  <c r="J132" i="71" s="1"/>
  <c r="K132" i="71" s="1"/>
  <c r="L132" i="71" s="1"/>
  <c r="M132" i="71" s="1"/>
  <c r="J131" i="71"/>
  <c r="H131" i="71"/>
  <c r="I131" i="71" s="1"/>
  <c r="G129" i="71"/>
  <c r="G138" i="71" s="1"/>
  <c r="K128" i="71"/>
  <c r="L128" i="71" s="1"/>
  <c r="M128" i="71" s="1"/>
  <c r="I128" i="71"/>
  <c r="J128" i="71" s="1"/>
  <c r="H128" i="71"/>
  <c r="I127" i="71"/>
  <c r="J127" i="71" s="1"/>
  <c r="K127" i="71" s="1"/>
  <c r="L127" i="71" s="1"/>
  <c r="M127" i="71" s="1"/>
  <c r="H127" i="71"/>
  <c r="H126" i="71"/>
  <c r="I126" i="71" s="1"/>
  <c r="J126" i="71" s="1"/>
  <c r="K126" i="71" s="1"/>
  <c r="L126" i="71" s="1"/>
  <c r="M126" i="71" s="1"/>
  <c r="M125" i="71"/>
  <c r="I125" i="71"/>
  <c r="J125" i="71" s="1"/>
  <c r="K125" i="71" s="1"/>
  <c r="L125" i="71" s="1"/>
  <c r="H125" i="71"/>
  <c r="I124" i="71"/>
  <c r="J124" i="71" s="1"/>
  <c r="K124" i="71" s="1"/>
  <c r="H124" i="71"/>
  <c r="H129" i="71" s="1"/>
  <c r="I120" i="71"/>
  <c r="J120" i="71" s="1"/>
  <c r="K120" i="71" s="1"/>
  <c r="L120" i="71" s="1"/>
  <c r="M120" i="71" s="1"/>
  <c r="H120" i="71"/>
  <c r="H119" i="71"/>
  <c r="I119" i="71" s="1"/>
  <c r="J119" i="71" s="1"/>
  <c r="K119" i="71" s="1"/>
  <c r="L119" i="71" s="1"/>
  <c r="M119" i="71" s="1"/>
  <c r="H118" i="71"/>
  <c r="I118" i="71" s="1"/>
  <c r="J118" i="71" s="1"/>
  <c r="K118" i="71" s="1"/>
  <c r="L118" i="71" s="1"/>
  <c r="M118" i="71" s="1"/>
  <c r="H117" i="71"/>
  <c r="I117" i="71" s="1"/>
  <c r="J117" i="71" s="1"/>
  <c r="K117" i="71" s="1"/>
  <c r="L117" i="71" s="1"/>
  <c r="M117" i="71" s="1"/>
  <c r="G113" i="71"/>
  <c r="C85" i="71"/>
  <c r="D72" i="71"/>
  <c r="D77" i="71" s="1"/>
  <c r="D71" i="71"/>
  <c r="D76" i="71" s="1"/>
  <c r="G63" i="71"/>
  <c r="J62" i="71"/>
  <c r="K62" i="71" s="1"/>
  <c r="L62" i="71" s="1"/>
  <c r="M62" i="71" s="1"/>
  <c r="H62" i="71"/>
  <c r="I62" i="71" s="1"/>
  <c r="G60" i="71"/>
  <c r="G64" i="71" s="1"/>
  <c r="G61" i="71" s="1"/>
  <c r="J59" i="71"/>
  <c r="K59" i="71" s="1"/>
  <c r="L59" i="71" s="1"/>
  <c r="M59" i="71" s="1"/>
  <c r="H59" i="71"/>
  <c r="I59" i="71" s="1"/>
  <c r="H58" i="71"/>
  <c r="G57" i="71"/>
  <c r="G45" i="71" s="1"/>
  <c r="J56" i="71"/>
  <c r="K56" i="71" s="1"/>
  <c r="L56" i="71" s="1"/>
  <c r="M56" i="71" s="1"/>
  <c r="I56" i="71"/>
  <c r="H56" i="71"/>
  <c r="H55" i="71"/>
  <c r="H57" i="71" s="1"/>
  <c r="H51" i="71"/>
  <c r="I51" i="71" s="1"/>
  <c r="J51" i="71" s="1"/>
  <c r="K51" i="71" s="1"/>
  <c r="L51" i="71" s="1"/>
  <c r="M51" i="71" s="1"/>
  <c r="G48" i="71"/>
  <c r="G47" i="71"/>
  <c r="G44" i="71"/>
  <c r="G46" i="71" s="1"/>
  <c r="H36" i="71"/>
  <c r="G35" i="71"/>
  <c r="H34" i="71"/>
  <c r="I34" i="71" s="1"/>
  <c r="J34" i="71" s="1"/>
  <c r="K34" i="71" s="1"/>
  <c r="L34" i="71" s="1"/>
  <c r="M34" i="71" s="1"/>
  <c r="G29" i="71"/>
  <c r="J28" i="71"/>
  <c r="K28" i="71" s="1"/>
  <c r="L28" i="71" s="1"/>
  <c r="M28" i="71" s="1"/>
  <c r="I28" i="71"/>
  <c r="H28" i="71"/>
  <c r="H27" i="71"/>
  <c r="G26" i="71"/>
  <c r="G104" i="71" s="1"/>
  <c r="I25" i="71"/>
  <c r="J25" i="71" s="1"/>
  <c r="K25" i="71" s="1"/>
  <c r="H25" i="71"/>
  <c r="H24" i="71"/>
  <c r="H18" i="71"/>
  <c r="I18" i="71" s="1"/>
  <c r="J18" i="71" s="1"/>
  <c r="K18" i="71" s="1"/>
  <c r="L18" i="71" s="1"/>
  <c r="M18" i="71" s="1"/>
  <c r="M8" i="71"/>
  <c r="M86" i="71" s="1"/>
  <c r="M170" i="71" s="1"/>
  <c r="L8" i="71"/>
  <c r="L86" i="71" s="1"/>
  <c r="L170" i="71" s="1"/>
  <c r="K8" i="71"/>
  <c r="K86" i="71" s="1"/>
  <c r="K170" i="71" s="1"/>
  <c r="J8" i="71"/>
  <c r="J86" i="71" s="1"/>
  <c r="J170" i="71" s="1"/>
  <c r="I8" i="71"/>
  <c r="I86" i="71" s="1"/>
  <c r="I170" i="71" s="1"/>
  <c r="H8" i="71"/>
  <c r="H86" i="71" s="1"/>
  <c r="H170" i="71" s="1"/>
  <c r="G8" i="71"/>
  <c r="G86" i="71" s="1"/>
  <c r="G170" i="71" s="1"/>
  <c r="C5" i="71"/>
  <c r="G269" i="70"/>
  <c r="H267" i="70"/>
  <c r="I267" i="70" s="1"/>
  <c r="J267" i="70" s="1"/>
  <c r="K267" i="70" s="1"/>
  <c r="L267" i="70" s="1"/>
  <c r="M267" i="70" s="1"/>
  <c r="H266" i="70"/>
  <c r="I266" i="70" s="1"/>
  <c r="G260" i="70"/>
  <c r="G258" i="70"/>
  <c r="G252" i="70"/>
  <c r="C241" i="70"/>
  <c r="G230" i="70"/>
  <c r="H228" i="70"/>
  <c r="I228" i="70" s="1"/>
  <c r="J228" i="70" s="1"/>
  <c r="K228" i="70" s="1"/>
  <c r="L228" i="70" s="1"/>
  <c r="M228" i="70" s="1"/>
  <c r="H227" i="70"/>
  <c r="I227" i="70" s="1"/>
  <c r="J227" i="70" s="1"/>
  <c r="K227" i="70" s="1"/>
  <c r="L227" i="70" s="1"/>
  <c r="M227" i="70" s="1"/>
  <c r="H226" i="70"/>
  <c r="I226" i="70" s="1"/>
  <c r="J226" i="70" s="1"/>
  <c r="K226" i="70" s="1"/>
  <c r="L226" i="70" s="1"/>
  <c r="M226" i="70" s="1"/>
  <c r="H225" i="70"/>
  <c r="I225" i="70" s="1"/>
  <c r="J225" i="70" s="1"/>
  <c r="K225" i="70" s="1"/>
  <c r="L225" i="70" s="1"/>
  <c r="M225" i="70" s="1"/>
  <c r="H224" i="70"/>
  <c r="I224" i="70" s="1"/>
  <c r="J224" i="70" s="1"/>
  <c r="K224" i="70" s="1"/>
  <c r="L224" i="70" s="1"/>
  <c r="M224" i="70" s="1"/>
  <c r="H223" i="70"/>
  <c r="G217" i="70"/>
  <c r="H215" i="70"/>
  <c r="I215" i="70" s="1"/>
  <c r="J215" i="70" s="1"/>
  <c r="K215" i="70" s="1"/>
  <c r="L215" i="70" s="1"/>
  <c r="M215" i="70" s="1"/>
  <c r="H214" i="70"/>
  <c r="I214" i="70" s="1"/>
  <c r="J214" i="70" s="1"/>
  <c r="K214" i="70" s="1"/>
  <c r="L214" i="70" s="1"/>
  <c r="M214" i="70" s="1"/>
  <c r="H213" i="70"/>
  <c r="I213" i="70" s="1"/>
  <c r="J213" i="70" s="1"/>
  <c r="K213" i="70" s="1"/>
  <c r="L213" i="70" s="1"/>
  <c r="M213" i="70" s="1"/>
  <c r="I212" i="70"/>
  <c r="J212" i="70" s="1"/>
  <c r="K212" i="70" s="1"/>
  <c r="L212" i="70" s="1"/>
  <c r="M212" i="70" s="1"/>
  <c r="H212" i="70"/>
  <c r="H211" i="70"/>
  <c r="I211" i="70" s="1"/>
  <c r="J211" i="70" s="1"/>
  <c r="K211" i="70" s="1"/>
  <c r="L211" i="70" s="1"/>
  <c r="M211" i="70" s="1"/>
  <c r="H210" i="70"/>
  <c r="I210" i="70" s="1"/>
  <c r="J210" i="70" s="1"/>
  <c r="K210" i="70" s="1"/>
  <c r="L210" i="70" s="1"/>
  <c r="M210" i="70" s="1"/>
  <c r="H209" i="70"/>
  <c r="I209" i="70" s="1"/>
  <c r="J209" i="70" s="1"/>
  <c r="K209" i="70" s="1"/>
  <c r="L209" i="70" s="1"/>
  <c r="M209" i="70" s="1"/>
  <c r="I208" i="70"/>
  <c r="J208" i="70" s="1"/>
  <c r="K208" i="70" s="1"/>
  <c r="L208" i="70" s="1"/>
  <c r="M208" i="70" s="1"/>
  <c r="H208" i="70"/>
  <c r="H207" i="70"/>
  <c r="I207" i="70" s="1"/>
  <c r="J207" i="70" s="1"/>
  <c r="K207" i="70" s="1"/>
  <c r="L207" i="70" s="1"/>
  <c r="M207" i="70" s="1"/>
  <c r="H206" i="70"/>
  <c r="I206" i="70" s="1"/>
  <c r="G200" i="70"/>
  <c r="H198" i="70"/>
  <c r="I198" i="70" s="1"/>
  <c r="J198" i="70" s="1"/>
  <c r="K198" i="70" s="1"/>
  <c r="L198" i="70" s="1"/>
  <c r="M198" i="70" s="1"/>
  <c r="L197" i="70"/>
  <c r="M197" i="70" s="1"/>
  <c r="H197" i="70"/>
  <c r="I197" i="70" s="1"/>
  <c r="J197" i="70" s="1"/>
  <c r="K197" i="70" s="1"/>
  <c r="H196" i="70"/>
  <c r="I196" i="70" s="1"/>
  <c r="J196" i="70" s="1"/>
  <c r="K196" i="70" s="1"/>
  <c r="L196" i="70" s="1"/>
  <c r="M196" i="70" s="1"/>
  <c r="H195" i="70"/>
  <c r="G187" i="70"/>
  <c r="H186" i="70"/>
  <c r="I186" i="70" s="1"/>
  <c r="J186" i="70" s="1"/>
  <c r="K186" i="70" s="1"/>
  <c r="L186" i="70" s="1"/>
  <c r="M186" i="70" s="1"/>
  <c r="H185" i="70"/>
  <c r="I185" i="70" s="1"/>
  <c r="J185" i="70" s="1"/>
  <c r="K185" i="70" s="1"/>
  <c r="L185" i="70" s="1"/>
  <c r="M185" i="70" s="1"/>
  <c r="H184" i="70"/>
  <c r="I184" i="70" s="1"/>
  <c r="J184" i="70" s="1"/>
  <c r="K184" i="70" s="1"/>
  <c r="L184" i="70" s="1"/>
  <c r="M184" i="70" s="1"/>
  <c r="H183" i="70"/>
  <c r="I183" i="70" s="1"/>
  <c r="J183" i="70" s="1"/>
  <c r="K183" i="70" s="1"/>
  <c r="L183" i="70" s="1"/>
  <c r="M183" i="70" s="1"/>
  <c r="H182" i="70"/>
  <c r="I182" i="70" s="1"/>
  <c r="H180" i="70"/>
  <c r="G180" i="70"/>
  <c r="H179" i="70"/>
  <c r="I179" i="70" s="1"/>
  <c r="J179" i="70" s="1"/>
  <c r="K179" i="70" s="1"/>
  <c r="L179" i="70" s="1"/>
  <c r="M179" i="70" s="1"/>
  <c r="I178" i="70"/>
  <c r="J178" i="70" s="1"/>
  <c r="K178" i="70" s="1"/>
  <c r="L178" i="70" s="1"/>
  <c r="M178" i="70" s="1"/>
  <c r="H178" i="70"/>
  <c r="H177" i="70"/>
  <c r="I177" i="70" s="1"/>
  <c r="G164" i="70"/>
  <c r="H162" i="70"/>
  <c r="I162" i="70" s="1"/>
  <c r="J162" i="70" s="1"/>
  <c r="K162" i="70" s="1"/>
  <c r="L162" i="70" s="1"/>
  <c r="M162" i="70" s="1"/>
  <c r="H161" i="70"/>
  <c r="I161" i="70" s="1"/>
  <c r="J161" i="70" s="1"/>
  <c r="K161" i="70" s="1"/>
  <c r="L161" i="70" s="1"/>
  <c r="M161" i="70" s="1"/>
  <c r="H160" i="70"/>
  <c r="I160" i="70" s="1"/>
  <c r="J160" i="70" s="1"/>
  <c r="K160" i="70" s="1"/>
  <c r="L160" i="70" s="1"/>
  <c r="M160" i="70" s="1"/>
  <c r="H159" i="70"/>
  <c r="I159" i="70" s="1"/>
  <c r="J159" i="70" s="1"/>
  <c r="K159" i="70" s="1"/>
  <c r="L159" i="70" s="1"/>
  <c r="M159" i="70" s="1"/>
  <c r="H158" i="70"/>
  <c r="G152" i="70"/>
  <c r="I150" i="70"/>
  <c r="J150" i="70" s="1"/>
  <c r="K150" i="70" s="1"/>
  <c r="L150" i="70" s="1"/>
  <c r="M150" i="70" s="1"/>
  <c r="H150" i="70"/>
  <c r="H149" i="70"/>
  <c r="I149" i="70" s="1"/>
  <c r="J149" i="70" s="1"/>
  <c r="K149" i="70" s="1"/>
  <c r="L149" i="70" s="1"/>
  <c r="M149" i="70" s="1"/>
  <c r="K148" i="70"/>
  <c r="L148" i="70" s="1"/>
  <c r="M148" i="70" s="1"/>
  <c r="H148" i="70"/>
  <c r="I148" i="70" s="1"/>
  <c r="J148" i="70" s="1"/>
  <c r="H147" i="70"/>
  <c r="I147" i="70" s="1"/>
  <c r="J147" i="70" s="1"/>
  <c r="K147" i="70" s="1"/>
  <c r="L147" i="70" s="1"/>
  <c r="M147" i="70" s="1"/>
  <c r="H146" i="70"/>
  <c r="H152" i="70" s="1"/>
  <c r="G136" i="70"/>
  <c r="H135" i="70"/>
  <c r="I135" i="70" s="1"/>
  <c r="J135" i="70" s="1"/>
  <c r="K135" i="70" s="1"/>
  <c r="L135" i="70" s="1"/>
  <c r="M135" i="70" s="1"/>
  <c r="H134" i="70"/>
  <c r="I134" i="70" s="1"/>
  <c r="J134" i="70" s="1"/>
  <c r="K134" i="70" s="1"/>
  <c r="L134" i="70" s="1"/>
  <c r="M134" i="70" s="1"/>
  <c r="H133" i="70"/>
  <c r="I133" i="70" s="1"/>
  <c r="J133" i="70" s="1"/>
  <c r="K133" i="70" s="1"/>
  <c r="L133" i="70" s="1"/>
  <c r="M133" i="70" s="1"/>
  <c r="H132" i="70"/>
  <c r="I132" i="70" s="1"/>
  <c r="J132" i="70" s="1"/>
  <c r="K132" i="70" s="1"/>
  <c r="L132" i="70" s="1"/>
  <c r="M132" i="70" s="1"/>
  <c r="H131" i="70"/>
  <c r="G129" i="70"/>
  <c r="H128" i="70"/>
  <c r="I128" i="70" s="1"/>
  <c r="J128" i="70" s="1"/>
  <c r="K128" i="70" s="1"/>
  <c r="L128" i="70" s="1"/>
  <c r="M128" i="70" s="1"/>
  <c r="H127" i="70"/>
  <c r="I127" i="70" s="1"/>
  <c r="J127" i="70" s="1"/>
  <c r="K127" i="70" s="1"/>
  <c r="L127" i="70" s="1"/>
  <c r="M127" i="70" s="1"/>
  <c r="H126" i="70"/>
  <c r="I126" i="70" s="1"/>
  <c r="J126" i="70" s="1"/>
  <c r="K126" i="70" s="1"/>
  <c r="L126" i="70" s="1"/>
  <c r="M126" i="70" s="1"/>
  <c r="I125" i="70"/>
  <c r="J125" i="70" s="1"/>
  <c r="K125" i="70" s="1"/>
  <c r="L125" i="70" s="1"/>
  <c r="M125" i="70" s="1"/>
  <c r="H125" i="70"/>
  <c r="H124" i="70"/>
  <c r="H129" i="70" s="1"/>
  <c r="I120" i="70"/>
  <c r="J120" i="70" s="1"/>
  <c r="K120" i="70" s="1"/>
  <c r="L120" i="70" s="1"/>
  <c r="M120" i="70" s="1"/>
  <c r="H120" i="70"/>
  <c r="H119" i="70"/>
  <c r="I119" i="70" s="1"/>
  <c r="J119" i="70" s="1"/>
  <c r="K119" i="70" s="1"/>
  <c r="L119" i="70" s="1"/>
  <c r="M119" i="70" s="1"/>
  <c r="H118" i="70"/>
  <c r="I118" i="70" s="1"/>
  <c r="J118" i="70" s="1"/>
  <c r="K118" i="70" s="1"/>
  <c r="L118" i="70" s="1"/>
  <c r="M118" i="70" s="1"/>
  <c r="I117" i="70"/>
  <c r="J117" i="70" s="1"/>
  <c r="K117" i="70" s="1"/>
  <c r="L117" i="70" s="1"/>
  <c r="M117" i="70" s="1"/>
  <c r="H117" i="70"/>
  <c r="G113" i="70"/>
  <c r="C85" i="70"/>
  <c r="D72" i="70"/>
  <c r="D77" i="70" s="1"/>
  <c r="D71" i="70"/>
  <c r="D76" i="70" s="1"/>
  <c r="G63" i="70"/>
  <c r="H62" i="70"/>
  <c r="I62" i="70" s="1"/>
  <c r="J62" i="70" s="1"/>
  <c r="K62" i="70" s="1"/>
  <c r="L62" i="70" s="1"/>
  <c r="M62" i="70" s="1"/>
  <c r="G60" i="70"/>
  <c r="I59" i="70"/>
  <c r="J59" i="70" s="1"/>
  <c r="K59" i="70" s="1"/>
  <c r="L59" i="70" s="1"/>
  <c r="M59" i="70" s="1"/>
  <c r="H59" i="70"/>
  <c r="H58" i="70"/>
  <c r="H63" i="70" s="1"/>
  <c r="G57" i="70"/>
  <c r="G47" i="70" s="1"/>
  <c r="H56" i="70"/>
  <c r="I56" i="70" s="1"/>
  <c r="J56" i="70" s="1"/>
  <c r="K56" i="70" s="1"/>
  <c r="L56" i="70" s="1"/>
  <c r="M56" i="70" s="1"/>
  <c r="H55" i="70"/>
  <c r="H51" i="70"/>
  <c r="I51" i="70" s="1"/>
  <c r="J51" i="70" s="1"/>
  <c r="K51" i="70" s="1"/>
  <c r="L51" i="70" s="1"/>
  <c r="M51" i="70" s="1"/>
  <c r="H36" i="70"/>
  <c r="H113" i="70" s="1"/>
  <c r="G35" i="70"/>
  <c r="L34" i="70"/>
  <c r="M34" i="70" s="1"/>
  <c r="H34" i="70"/>
  <c r="I34" i="70" s="1"/>
  <c r="J34" i="70" s="1"/>
  <c r="K34" i="70" s="1"/>
  <c r="G29" i="70"/>
  <c r="J28" i="70"/>
  <c r="K28" i="70" s="1"/>
  <c r="L28" i="70" s="1"/>
  <c r="M28" i="70" s="1"/>
  <c r="H28" i="70"/>
  <c r="I28" i="70" s="1"/>
  <c r="H27" i="70"/>
  <c r="G26" i="70"/>
  <c r="G96" i="70" s="1"/>
  <c r="I25" i="70"/>
  <c r="H25" i="70"/>
  <c r="H24" i="70"/>
  <c r="H18" i="70"/>
  <c r="M8" i="70"/>
  <c r="M86" i="70" s="1"/>
  <c r="M170" i="70" s="1"/>
  <c r="L8" i="70"/>
  <c r="L86" i="70" s="1"/>
  <c r="L170" i="70" s="1"/>
  <c r="K8" i="70"/>
  <c r="K86" i="70" s="1"/>
  <c r="K170" i="70" s="1"/>
  <c r="J8" i="70"/>
  <c r="J86" i="70" s="1"/>
  <c r="J170" i="70" s="1"/>
  <c r="I8" i="70"/>
  <c r="I86" i="70" s="1"/>
  <c r="I170" i="70" s="1"/>
  <c r="H8" i="70"/>
  <c r="H86" i="70" s="1"/>
  <c r="H170" i="70" s="1"/>
  <c r="G8" i="70"/>
  <c r="G86" i="70" s="1"/>
  <c r="G170" i="70" s="1"/>
  <c r="C5" i="70"/>
  <c r="G269" i="69"/>
  <c r="L267" i="69"/>
  <c r="M267" i="69" s="1"/>
  <c r="K267" i="69"/>
  <c r="H267" i="69"/>
  <c r="I267" i="69" s="1"/>
  <c r="J267" i="69" s="1"/>
  <c r="I266" i="69"/>
  <c r="H266" i="69"/>
  <c r="G258" i="69"/>
  <c r="G252" i="69"/>
  <c r="C241" i="69"/>
  <c r="G230" i="69"/>
  <c r="I228" i="69"/>
  <c r="J228" i="69" s="1"/>
  <c r="K228" i="69" s="1"/>
  <c r="L228" i="69" s="1"/>
  <c r="M228" i="69" s="1"/>
  <c r="H228" i="69"/>
  <c r="H227" i="69"/>
  <c r="I227" i="69" s="1"/>
  <c r="J227" i="69" s="1"/>
  <c r="K227" i="69" s="1"/>
  <c r="L227" i="69" s="1"/>
  <c r="M227" i="69" s="1"/>
  <c r="I226" i="69"/>
  <c r="J226" i="69" s="1"/>
  <c r="K226" i="69" s="1"/>
  <c r="L226" i="69" s="1"/>
  <c r="M226" i="69" s="1"/>
  <c r="H226" i="69"/>
  <c r="H225" i="69"/>
  <c r="I225" i="69" s="1"/>
  <c r="J225" i="69" s="1"/>
  <c r="K225" i="69" s="1"/>
  <c r="L225" i="69" s="1"/>
  <c r="M225" i="69" s="1"/>
  <c r="H224" i="69"/>
  <c r="I224" i="69" s="1"/>
  <c r="J224" i="69" s="1"/>
  <c r="K224" i="69" s="1"/>
  <c r="L224" i="69" s="1"/>
  <c r="M224" i="69" s="1"/>
  <c r="H223" i="69"/>
  <c r="G217" i="69"/>
  <c r="H215" i="69"/>
  <c r="I215" i="69" s="1"/>
  <c r="J215" i="69" s="1"/>
  <c r="K215" i="69" s="1"/>
  <c r="L215" i="69" s="1"/>
  <c r="M215" i="69" s="1"/>
  <c r="M214" i="69"/>
  <c r="H214" i="69"/>
  <c r="I214" i="69" s="1"/>
  <c r="J214" i="69" s="1"/>
  <c r="K214" i="69" s="1"/>
  <c r="L214" i="69" s="1"/>
  <c r="H213" i="69"/>
  <c r="I213" i="69" s="1"/>
  <c r="J213" i="69" s="1"/>
  <c r="K213" i="69" s="1"/>
  <c r="L213" i="69" s="1"/>
  <c r="M213" i="69" s="1"/>
  <c r="I212" i="69"/>
  <c r="J212" i="69" s="1"/>
  <c r="K212" i="69" s="1"/>
  <c r="L212" i="69" s="1"/>
  <c r="M212" i="69" s="1"/>
  <c r="H212" i="69"/>
  <c r="H211" i="69"/>
  <c r="I211" i="69" s="1"/>
  <c r="J211" i="69" s="1"/>
  <c r="K211" i="69" s="1"/>
  <c r="L211" i="69" s="1"/>
  <c r="M211" i="69" s="1"/>
  <c r="I210" i="69"/>
  <c r="J210" i="69" s="1"/>
  <c r="K210" i="69" s="1"/>
  <c r="L210" i="69" s="1"/>
  <c r="M210" i="69" s="1"/>
  <c r="H210" i="69"/>
  <c r="H209" i="69"/>
  <c r="I209" i="69" s="1"/>
  <c r="J209" i="69" s="1"/>
  <c r="K209" i="69" s="1"/>
  <c r="L209" i="69" s="1"/>
  <c r="M209" i="69" s="1"/>
  <c r="I208" i="69"/>
  <c r="J208" i="69" s="1"/>
  <c r="K208" i="69" s="1"/>
  <c r="L208" i="69" s="1"/>
  <c r="M208" i="69" s="1"/>
  <c r="H208" i="69"/>
  <c r="H207" i="69"/>
  <c r="I207" i="69" s="1"/>
  <c r="J207" i="69" s="1"/>
  <c r="K207" i="69" s="1"/>
  <c r="L207" i="69" s="1"/>
  <c r="M207" i="69" s="1"/>
  <c r="I206" i="69"/>
  <c r="J206" i="69" s="1"/>
  <c r="H206" i="69"/>
  <c r="H217" i="69" s="1"/>
  <c r="H256" i="69" s="1"/>
  <c r="G200" i="69"/>
  <c r="G234" i="69" s="1"/>
  <c r="H198" i="69"/>
  <c r="I198" i="69" s="1"/>
  <c r="J198" i="69" s="1"/>
  <c r="K198" i="69" s="1"/>
  <c r="L198" i="69" s="1"/>
  <c r="M198" i="69" s="1"/>
  <c r="H197" i="69"/>
  <c r="I197" i="69" s="1"/>
  <c r="J197" i="69" s="1"/>
  <c r="K197" i="69" s="1"/>
  <c r="L197" i="69" s="1"/>
  <c r="M197" i="69" s="1"/>
  <c r="H196" i="69"/>
  <c r="I196" i="69" s="1"/>
  <c r="J196" i="69" s="1"/>
  <c r="K196" i="69" s="1"/>
  <c r="L196" i="69" s="1"/>
  <c r="M196" i="69" s="1"/>
  <c r="H195" i="69"/>
  <c r="H200" i="69" s="1"/>
  <c r="G187" i="69"/>
  <c r="H186" i="69"/>
  <c r="I186" i="69" s="1"/>
  <c r="J186" i="69" s="1"/>
  <c r="K186" i="69" s="1"/>
  <c r="L186" i="69" s="1"/>
  <c r="M186" i="69" s="1"/>
  <c r="I185" i="69"/>
  <c r="J185" i="69" s="1"/>
  <c r="K185" i="69" s="1"/>
  <c r="L185" i="69" s="1"/>
  <c r="M185" i="69" s="1"/>
  <c r="H185" i="69"/>
  <c r="H184" i="69"/>
  <c r="I184" i="69" s="1"/>
  <c r="J184" i="69" s="1"/>
  <c r="K184" i="69" s="1"/>
  <c r="L184" i="69" s="1"/>
  <c r="M184" i="69" s="1"/>
  <c r="H183" i="69"/>
  <c r="H187" i="69" s="1"/>
  <c r="J182" i="69"/>
  <c r="H182" i="69"/>
  <c r="I182" i="69" s="1"/>
  <c r="G180" i="69"/>
  <c r="G189" i="69" s="1"/>
  <c r="H179" i="69"/>
  <c r="I179" i="69" s="1"/>
  <c r="J179" i="69" s="1"/>
  <c r="K179" i="69" s="1"/>
  <c r="L179" i="69" s="1"/>
  <c r="M179" i="69" s="1"/>
  <c r="H178" i="69"/>
  <c r="I178" i="69" s="1"/>
  <c r="J178" i="69" s="1"/>
  <c r="K178" i="69" s="1"/>
  <c r="L178" i="69" s="1"/>
  <c r="M178" i="69" s="1"/>
  <c r="H177" i="69"/>
  <c r="I177" i="69" s="1"/>
  <c r="G164" i="69"/>
  <c r="H162" i="69"/>
  <c r="I162" i="69" s="1"/>
  <c r="J162" i="69" s="1"/>
  <c r="K162" i="69" s="1"/>
  <c r="L162" i="69" s="1"/>
  <c r="M162" i="69" s="1"/>
  <c r="H161" i="69"/>
  <c r="I161" i="69" s="1"/>
  <c r="J161" i="69" s="1"/>
  <c r="K161" i="69" s="1"/>
  <c r="L161" i="69" s="1"/>
  <c r="M161" i="69" s="1"/>
  <c r="H160" i="69"/>
  <c r="I160" i="69" s="1"/>
  <c r="J160" i="69" s="1"/>
  <c r="K160" i="69" s="1"/>
  <c r="L160" i="69" s="1"/>
  <c r="M160" i="69" s="1"/>
  <c r="H159" i="69"/>
  <c r="I159" i="69" s="1"/>
  <c r="J159" i="69" s="1"/>
  <c r="K159" i="69" s="1"/>
  <c r="L159" i="69" s="1"/>
  <c r="M159" i="69" s="1"/>
  <c r="J158" i="69"/>
  <c r="I158" i="69"/>
  <c r="H158" i="69"/>
  <c r="G152" i="69"/>
  <c r="H150" i="69"/>
  <c r="I150" i="69" s="1"/>
  <c r="J150" i="69" s="1"/>
  <c r="K150" i="69" s="1"/>
  <c r="L150" i="69" s="1"/>
  <c r="M150" i="69" s="1"/>
  <c r="J149" i="69"/>
  <c r="K149" i="69" s="1"/>
  <c r="L149" i="69" s="1"/>
  <c r="M149" i="69" s="1"/>
  <c r="I149" i="69"/>
  <c r="H149" i="69"/>
  <c r="H148" i="69"/>
  <c r="I148" i="69" s="1"/>
  <c r="J148" i="69" s="1"/>
  <c r="K148" i="69" s="1"/>
  <c r="L148" i="69" s="1"/>
  <c r="M148" i="69" s="1"/>
  <c r="I147" i="69"/>
  <c r="J147" i="69" s="1"/>
  <c r="K147" i="69" s="1"/>
  <c r="L147" i="69" s="1"/>
  <c r="M147" i="69" s="1"/>
  <c r="H147" i="69"/>
  <c r="H146" i="69"/>
  <c r="G136" i="69"/>
  <c r="I135" i="69"/>
  <c r="J135" i="69" s="1"/>
  <c r="K135" i="69" s="1"/>
  <c r="L135" i="69" s="1"/>
  <c r="M135" i="69" s="1"/>
  <c r="H135" i="69"/>
  <c r="H134" i="69"/>
  <c r="I134" i="69" s="1"/>
  <c r="J134" i="69" s="1"/>
  <c r="K134" i="69" s="1"/>
  <c r="L134" i="69" s="1"/>
  <c r="M134" i="69" s="1"/>
  <c r="L133" i="69"/>
  <c r="M133" i="69" s="1"/>
  <c r="H133" i="69"/>
  <c r="I133" i="69" s="1"/>
  <c r="J133" i="69" s="1"/>
  <c r="K133" i="69" s="1"/>
  <c r="H132" i="69"/>
  <c r="I132" i="69" s="1"/>
  <c r="J132" i="69" s="1"/>
  <c r="K132" i="69" s="1"/>
  <c r="L132" i="69" s="1"/>
  <c r="M132" i="69" s="1"/>
  <c r="H131" i="69"/>
  <c r="G129" i="69"/>
  <c r="G138" i="69" s="1"/>
  <c r="H128" i="69"/>
  <c r="I128" i="69" s="1"/>
  <c r="J128" i="69" s="1"/>
  <c r="K128" i="69" s="1"/>
  <c r="L128" i="69" s="1"/>
  <c r="M128" i="69" s="1"/>
  <c r="H127" i="69"/>
  <c r="I127" i="69" s="1"/>
  <c r="J127" i="69" s="1"/>
  <c r="K127" i="69" s="1"/>
  <c r="L127" i="69" s="1"/>
  <c r="M127" i="69" s="1"/>
  <c r="H126" i="69"/>
  <c r="I126" i="69" s="1"/>
  <c r="J126" i="69" s="1"/>
  <c r="K126" i="69" s="1"/>
  <c r="L126" i="69" s="1"/>
  <c r="M126" i="69" s="1"/>
  <c r="K125" i="69"/>
  <c r="L125" i="69" s="1"/>
  <c r="M125" i="69" s="1"/>
  <c r="I125" i="69"/>
  <c r="J125" i="69" s="1"/>
  <c r="H125" i="69"/>
  <c r="I124" i="69"/>
  <c r="J124" i="69" s="1"/>
  <c r="H124" i="69"/>
  <c r="H120" i="69"/>
  <c r="I120" i="69" s="1"/>
  <c r="J120" i="69" s="1"/>
  <c r="K120" i="69" s="1"/>
  <c r="L120" i="69" s="1"/>
  <c r="M120" i="69" s="1"/>
  <c r="J119" i="69"/>
  <c r="K119" i="69" s="1"/>
  <c r="L119" i="69" s="1"/>
  <c r="M119" i="69" s="1"/>
  <c r="I119" i="69"/>
  <c r="H119" i="69"/>
  <c r="H118" i="69"/>
  <c r="I118" i="69" s="1"/>
  <c r="J118" i="69" s="1"/>
  <c r="K118" i="69" s="1"/>
  <c r="L118" i="69" s="1"/>
  <c r="M118" i="69" s="1"/>
  <c r="I117" i="69"/>
  <c r="J117" i="69" s="1"/>
  <c r="K117" i="69" s="1"/>
  <c r="L117" i="69" s="1"/>
  <c r="M117" i="69" s="1"/>
  <c r="H117" i="69"/>
  <c r="G113" i="69"/>
  <c r="G106" i="69"/>
  <c r="C85" i="69"/>
  <c r="D72" i="69"/>
  <c r="D77" i="69" s="1"/>
  <c r="D71" i="69"/>
  <c r="D76" i="69" s="1"/>
  <c r="G63" i="69"/>
  <c r="H62" i="69"/>
  <c r="I62" i="69" s="1"/>
  <c r="J62" i="69" s="1"/>
  <c r="K62" i="69" s="1"/>
  <c r="L62" i="69" s="1"/>
  <c r="M62" i="69" s="1"/>
  <c r="G60" i="69"/>
  <c r="G64" i="69" s="1"/>
  <c r="G61" i="69" s="1"/>
  <c r="I59" i="69"/>
  <c r="J59" i="69" s="1"/>
  <c r="K59" i="69" s="1"/>
  <c r="L59" i="69" s="1"/>
  <c r="M59" i="69" s="1"/>
  <c r="H59" i="69"/>
  <c r="H58" i="69"/>
  <c r="G57" i="69"/>
  <c r="G100" i="69" s="1"/>
  <c r="H56" i="69"/>
  <c r="H57" i="69" s="1"/>
  <c r="H55" i="69"/>
  <c r="I55" i="69" s="1"/>
  <c r="J55" i="69" s="1"/>
  <c r="K55" i="69" s="1"/>
  <c r="G52" i="69"/>
  <c r="H51" i="69"/>
  <c r="I51" i="69" s="1"/>
  <c r="J51" i="69" s="1"/>
  <c r="K51" i="69" s="1"/>
  <c r="L51" i="69" s="1"/>
  <c r="M51" i="69" s="1"/>
  <c r="G48" i="69"/>
  <c r="G47" i="69"/>
  <c r="G49" i="69" s="1"/>
  <c r="H36" i="69"/>
  <c r="G35" i="69"/>
  <c r="H34" i="69"/>
  <c r="I34" i="69" s="1"/>
  <c r="J34" i="69" s="1"/>
  <c r="K34" i="69" s="1"/>
  <c r="L34" i="69" s="1"/>
  <c r="M34" i="69" s="1"/>
  <c r="G29" i="69"/>
  <c r="H28" i="69"/>
  <c r="I28" i="69" s="1"/>
  <c r="J28" i="69" s="1"/>
  <c r="K28" i="69" s="1"/>
  <c r="L28" i="69" s="1"/>
  <c r="M28" i="69" s="1"/>
  <c r="H27" i="69"/>
  <c r="G26" i="69"/>
  <c r="G111" i="69" s="1"/>
  <c r="H25" i="69"/>
  <c r="H24" i="69"/>
  <c r="I24" i="69" s="1"/>
  <c r="K18" i="69"/>
  <c r="L18" i="69" s="1"/>
  <c r="M18" i="69" s="1"/>
  <c r="H18" i="69"/>
  <c r="I18" i="69" s="1"/>
  <c r="J18" i="69" s="1"/>
  <c r="M8" i="69"/>
  <c r="M86" i="69" s="1"/>
  <c r="M170" i="69" s="1"/>
  <c r="L8" i="69"/>
  <c r="L86" i="69" s="1"/>
  <c r="L170" i="69" s="1"/>
  <c r="K8" i="69"/>
  <c r="K86" i="69" s="1"/>
  <c r="K170" i="69" s="1"/>
  <c r="J8" i="69"/>
  <c r="J86" i="69" s="1"/>
  <c r="J170" i="69" s="1"/>
  <c r="I8" i="69"/>
  <c r="I86" i="69" s="1"/>
  <c r="I170" i="69" s="1"/>
  <c r="H8" i="69"/>
  <c r="H86" i="69" s="1"/>
  <c r="H170" i="69" s="1"/>
  <c r="G8" i="69"/>
  <c r="G86" i="69" s="1"/>
  <c r="G170" i="69" s="1"/>
  <c r="C5" i="69"/>
  <c r="G269" i="63"/>
  <c r="H267" i="63"/>
  <c r="I267" i="63" s="1"/>
  <c r="J267" i="63" s="1"/>
  <c r="K267" i="63" s="1"/>
  <c r="L267" i="63" s="1"/>
  <c r="M267" i="63" s="1"/>
  <c r="H266" i="63"/>
  <c r="G258" i="63"/>
  <c r="G252" i="63"/>
  <c r="G260" i="63" s="1"/>
  <c r="G273" i="63" s="1"/>
  <c r="G274" i="63" s="1"/>
  <c r="C241" i="63"/>
  <c r="G230" i="63"/>
  <c r="H228" i="63"/>
  <c r="I228" i="63" s="1"/>
  <c r="J228" i="63" s="1"/>
  <c r="K228" i="63" s="1"/>
  <c r="L228" i="63" s="1"/>
  <c r="M228" i="63" s="1"/>
  <c r="H227" i="63"/>
  <c r="I227" i="63" s="1"/>
  <c r="J227" i="63" s="1"/>
  <c r="K227" i="63" s="1"/>
  <c r="L227" i="63" s="1"/>
  <c r="M227" i="63" s="1"/>
  <c r="H226" i="63"/>
  <c r="I226" i="63" s="1"/>
  <c r="J226" i="63" s="1"/>
  <c r="K226" i="63" s="1"/>
  <c r="L226" i="63" s="1"/>
  <c r="M226" i="63" s="1"/>
  <c r="H225" i="63"/>
  <c r="I225" i="63" s="1"/>
  <c r="J225" i="63" s="1"/>
  <c r="K225" i="63" s="1"/>
  <c r="L225" i="63" s="1"/>
  <c r="M225" i="63" s="1"/>
  <c r="H224" i="63"/>
  <c r="I224" i="63" s="1"/>
  <c r="J224" i="63" s="1"/>
  <c r="K224" i="63" s="1"/>
  <c r="L224" i="63" s="1"/>
  <c r="M224" i="63" s="1"/>
  <c r="H223" i="63"/>
  <c r="H230" i="63" s="1"/>
  <c r="H257" i="63" s="1"/>
  <c r="G217" i="63"/>
  <c r="H215" i="63"/>
  <c r="I215" i="63" s="1"/>
  <c r="J215" i="63" s="1"/>
  <c r="K215" i="63" s="1"/>
  <c r="L215" i="63" s="1"/>
  <c r="M215" i="63" s="1"/>
  <c r="I214" i="63"/>
  <c r="J214" i="63" s="1"/>
  <c r="K214" i="63" s="1"/>
  <c r="L214" i="63" s="1"/>
  <c r="M214" i="63" s="1"/>
  <c r="H214" i="63"/>
  <c r="H213" i="63"/>
  <c r="I213" i="63" s="1"/>
  <c r="J213" i="63" s="1"/>
  <c r="K213" i="63" s="1"/>
  <c r="L213" i="63" s="1"/>
  <c r="M213" i="63" s="1"/>
  <c r="H212" i="63"/>
  <c r="I212" i="63" s="1"/>
  <c r="J212" i="63" s="1"/>
  <c r="K212" i="63" s="1"/>
  <c r="L212" i="63" s="1"/>
  <c r="M212" i="63" s="1"/>
  <c r="H211" i="63"/>
  <c r="I211" i="63" s="1"/>
  <c r="J211" i="63" s="1"/>
  <c r="K211" i="63" s="1"/>
  <c r="L211" i="63" s="1"/>
  <c r="M211" i="63" s="1"/>
  <c r="H210" i="63"/>
  <c r="I210" i="63" s="1"/>
  <c r="J210" i="63" s="1"/>
  <c r="K210" i="63" s="1"/>
  <c r="L210" i="63" s="1"/>
  <c r="M210" i="63" s="1"/>
  <c r="H209" i="63"/>
  <c r="I209" i="63" s="1"/>
  <c r="J209" i="63" s="1"/>
  <c r="K209" i="63" s="1"/>
  <c r="L209" i="63" s="1"/>
  <c r="M209" i="63" s="1"/>
  <c r="H208" i="63"/>
  <c r="I208" i="63" s="1"/>
  <c r="J208" i="63" s="1"/>
  <c r="K208" i="63" s="1"/>
  <c r="L208" i="63" s="1"/>
  <c r="M208" i="63" s="1"/>
  <c r="H207" i="63"/>
  <c r="I207" i="63" s="1"/>
  <c r="J207" i="63" s="1"/>
  <c r="K207" i="63" s="1"/>
  <c r="L207" i="63" s="1"/>
  <c r="M207" i="63" s="1"/>
  <c r="H206" i="63"/>
  <c r="G200" i="63"/>
  <c r="G234" i="63" s="1"/>
  <c r="H198" i="63"/>
  <c r="I198" i="63" s="1"/>
  <c r="J198" i="63" s="1"/>
  <c r="K198" i="63" s="1"/>
  <c r="L198" i="63" s="1"/>
  <c r="M198" i="63" s="1"/>
  <c r="H197" i="63"/>
  <c r="I197" i="63" s="1"/>
  <c r="J197" i="63" s="1"/>
  <c r="K197" i="63" s="1"/>
  <c r="L197" i="63" s="1"/>
  <c r="M197" i="63" s="1"/>
  <c r="H196" i="63"/>
  <c r="I196" i="63" s="1"/>
  <c r="J196" i="63" s="1"/>
  <c r="K196" i="63" s="1"/>
  <c r="L196" i="63" s="1"/>
  <c r="M196" i="63" s="1"/>
  <c r="H195" i="63"/>
  <c r="G187" i="63"/>
  <c r="H186" i="63"/>
  <c r="I186" i="63" s="1"/>
  <c r="J186" i="63" s="1"/>
  <c r="K186" i="63" s="1"/>
  <c r="L186" i="63" s="1"/>
  <c r="M186" i="63" s="1"/>
  <c r="H185" i="63"/>
  <c r="I185" i="63" s="1"/>
  <c r="J185" i="63" s="1"/>
  <c r="K185" i="63" s="1"/>
  <c r="L185" i="63" s="1"/>
  <c r="M185" i="63" s="1"/>
  <c r="H184" i="63"/>
  <c r="I184" i="63" s="1"/>
  <c r="J184" i="63" s="1"/>
  <c r="K184" i="63" s="1"/>
  <c r="L184" i="63" s="1"/>
  <c r="M184" i="63" s="1"/>
  <c r="H183" i="63"/>
  <c r="I183" i="63" s="1"/>
  <c r="J183" i="63" s="1"/>
  <c r="K183" i="63" s="1"/>
  <c r="L183" i="63" s="1"/>
  <c r="M183" i="63" s="1"/>
  <c r="H182" i="63"/>
  <c r="G180" i="63"/>
  <c r="G189" i="63" s="1"/>
  <c r="H179" i="63"/>
  <c r="I179" i="63" s="1"/>
  <c r="J179" i="63" s="1"/>
  <c r="K179" i="63" s="1"/>
  <c r="L179" i="63" s="1"/>
  <c r="M179" i="63" s="1"/>
  <c r="H178" i="63"/>
  <c r="H177" i="63"/>
  <c r="I177" i="63" s="1"/>
  <c r="G164" i="63"/>
  <c r="H162" i="63"/>
  <c r="I162" i="63" s="1"/>
  <c r="J162" i="63" s="1"/>
  <c r="K162" i="63" s="1"/>
  <c r="L162" i="63" s="1"/>
  <c r="M162" i="63" s="1"/>
  <c r="I161" i="63"/>
  <c r="J161" i="63" s="1"/>
  <c r="K161" i="63" s="1"/>
  <c r="L161" i="63" s="1"/>
  <c r="M161" i="63" s="1"/>
  <c r="H161" i="63"/>
  <c r="H160" i="63"/>
  <c r="I160" i="63" s="1"/>
  <c r="J160" i="63" s="1"/>
  <c r="K160" i="63" s="1"/>
  <c r="L160" i="63" s="1"/>
  <c r="M160" i="63" s="1"/>
  <c r="J159" i="63"/>
  <c r="K159" i="63" s="1"/>
  <c r="L159" i="63" s="1"/>
  <c r="M159" i="63" s="1"/>
  <c r="H159" i="63"/>
  <c r="I159" i="63" s="1"/>
  <c r="H158" i="63"/>
  <c r="H152" i="63"/>
  <c r="G152" i="63"/>
  <c r="H150" i="63"/>
  <c r="I150" i="63" s="1"/>
  <c r="J150" i="63" s="1"/>
  <c r="K150" i="63" s="1"/>
  <c r="L150" i="63" s="1"/>
  <c r="M150" i="63" s="1"/>
  <c r="I149" i="63"/>
  <c r="J149" i="63" s="1"/>
  <c r="K149" i="63" s="1"/>
  <c r="L149" i="63" s="1"/>
  <c r="M149" i="63" s="1"/>
  <c r="H149" i="63"/>
  <c r="H148" i="63"/>
  <c r="I148" i="63" s="1"/>
  <c r="J148" i="63" s="1"/>
  <c r="K148" i="63" s="1"/>
  <c r="L148" i="63" s="1"/>
  <c r="M148" i="63" s="1"/>
  <c r="I147" i="63"/>
  <c r="J147" i="63" s="1"/>
  <c r="K147" i="63" s="1"/>
  <c r="L147" i="63" s="1"/>
  <c r="M147" i="63" s="1"/>
  <c r="H147" i="63"/>
  <c r="H146" i="63"/>
  <c r="I146" i="63" s="1"/>
  <c r="G136" i="63"/>
  <c r="L135" i="63"/>
  <c r="M135" i="63" s="1"/>
  <c r="H135" i="63"/>
  <c r="I135" i="63" s="1"/>
  <c r="J135" i="63" s="1"/>
  <c r="K135" i="63" s="1"/>
  <c r="H134" i="63"/>
  <c r="I134" i="63" s="1"/>
  <c r="J134" i="63" s="1"/>
  <c r="K134" i="63" s="1"/>
  <c r="L134" i="63" s="1"/>
  <c r="M134" i="63" s="1"/>
  <c r="H133" i="63"/>
  <c r="I133" i="63" s="1"/>
  <c r="J133" i="63" s="1"/>
  <c r="K133" i="63" s="1"/>
  <c r="L133" i="63" s="1"/>
  <c r="M133" i="63" s="1"/>
  <c r="H132" i="63"/>
  <c r="I132" i="63" s="1"/>
  <c r="J132" i="63" s="1"/>
  <c r="K132" i="63" s="1"/>
  <c r="L132" i="63" s="1"/>
  <c r="M132" i="63" s="1"/>
  <c r="H131" i="63"/>
  <c r="G129" i="63"/>
  <c r="H128" i="63"/>
  <c r="I128" i="63" s="1"/>
  <c r="J128" i="63" s="1"/>
  <c r="K128" i="63" s="1"/>
  <c r="L128" i="63" s="1"/>
  <c r="M128" i="63" s="1"/>
  <c r="H127" i="63"/>
  <c r="I127" i="63" s="1"/>
  <c r="J127" i="63" s="1"/>
  <c r="K127" i="63" s="1"/>
  <c r="L127" i="63" s="1"/>
  <c r="M127" i="63" s="1"/>
  <c r="H126" i="63"/>
  <c r="I126" i="63" s="1"/>
  <c r="J126" i="63" s="1"/>
  <c r="K126" i="63" s="1"/>
  <c r="L126" i="63" s="1"/>
  <c r="M126" i="63" s="1"/>
  <c r="H125" i="63"/>
  <c r="I125" i="63" s="1"/>
  <c r="J125" i="63" s="1"/>
  <c r="K125" i="63" s="1"/>
  <c r="L125" i="63" s="1"/>
  <c r="M125" i="63" s="1"/>
  <c r="H124" i="63"/>
  <c r="H120" i="63"/>
  <c r="I120" i="63" s="1"/>
  <c r="J120" i="63" s="1"/>
  <c r="K120" i="63" s="1"/>
  <c r="L120" i="63" s="1"/>
  <c r="M120" i="63" s="1"/>
  <c r="H119" i="63"/>
  <c r="I119" i="63" s="1"/>
  <c r="J119" i="63" s="1"/>
  <c r="K119" i="63" s="1"/>
  <c r="L119" i="63" s="1"/>
  <c r="M119" i="63" s="1"/>
  <c r="H118" i="63"/>
  <c r="I118" i="63" s="1"/>
  <c r="J118" i="63" s="1"/>
  <c r="K118" i="63" s="1"/>
  <c r="L118" i="63" s="1"/>
  <c r="M118" i="63" s="1"/>
  <c r="H117" i="63"/>
  <c r="I117" i="63" s="1"/>
  <c r="J117" i="63" s="1"/>
  <c r="K117" i="63" s="1"/>
  <c r="L117" i="63" s="1"/>
  <c r="M117" i="63" s="1"/>
  <c r="G113" i="63"/>
  <c r="C85" i="63"/>
  <c r="D77" i="63"/>
  <c r="D72" i="63"/>
  <c r="D71" i="63"/>
  <c r="D76" i="63" s="1"/>
  <c r="G63" i="63"/>
  <c r="H62" i="63"/>
  <c r="I62" i="63" s="1"/>
  <c r="J62" i="63" s="1"/>
  <c r="K62" i="63" s="1"/>
  <c r="L62" i="63" s="1"/>
  <c r="M62" i="63" s="1"/>
  <c r="G60" i="63"/>
  <c r="G64" i="63" s="1"/>
  <c r="G61" i="63" s="1"/>
  <c r="H59" i="63"/>
  <c r="H58" i="63"/>
  <c r="I58" i="63" s="1"/>
  <c r="J58" i="63" s="1"/>
  <c r="H57" i="63"/>
  <c r="G57" i="63"/>
  <c r="G100" i="63" s="1"/>
  <c r="I56" i="63"/>
  <c r="J56" i="63" s="1"/>
  <c r="K56" i="63" s="1"/>
  <c r="L56" i="63" s="1"/>
  <c r="M56" i="63" s="1"/>
  <c r="H56" i="63"/>
  <c r="H55" i="63"/>
  <c r="I55" i="63" s="1"/>
  <c r="I51" i="63"/>
  <c r="J51" i="63" s="1"/>
  <c r="K51" i="63" s="1"/>
  <c r="L51" i="63" s="1"/>
  <c r="M51" i="63" s="1"/>
  <c r="H51" i="63"/>
  <c r="G48" i="63"/>
  <c r="G47" i="63"/>
  <c r="G52" i="63" s="1"/>
  <c r="G44" i="63"/>
  <c r="H36" i="63"/>
  <c r="H35" i="63"/>
  <c r="G35" i="63"/>
  <c r="H34" i="63"/>
  <c r="I34" i="63" s="1"/>
  <c r="J34" i="63" s="1"/>
  <c r="K34" i="63" s="1"/>
  <c r="L34" i="63" s="1"/>
  <c r="M34" i="63" s="1"/>
  <c r="G32" i="63"/>
  <c r="G112" i="63" s="1"/>
  <c r="G29" i="63"/>
  <c r="K28" i="63"/>
  <c r="L28" i="63" s="1"/>
  <c r="M28" i="63" s="1"/>
  <c r="H28" i="63"/>
  <c r="I28" i="63" s="1"/>
  <c r="J28" i="63" s="1"/>
  <c r="H27" i="63"/>
  <c r="G26" i="63"/>
  <c r="H25" i="63"/>
  <c r="H24" i="63"/>
  <c r="H18" i="63"/>
  <c r="I18" i="63" s="1"/>
  <c r="J18" i="63" s="1"/>
  <c r="K18" i="63" s="1"/>
  <c r="L18" i="63" s="1"/>
  <c r="M18" i="63" s="1"/>
  <c r="M8" i="63"/>
  <c r="M86" i="63" s="1"/>
  <c r="M170" i="63" s="1"/>
  <c r="L8" i="63"/>
  <c r="L86" i="63" s="1"/>
  <c r="L170" i="63" s="1"/>
  <c r="K8" i="63"/>
  <c r="K86" i="63" s="1"/>
  <c r="K170" i="63" s="1"/>
  <c r="J8" i="63"/>
  <c r="J86" i="63" s="1"/>
  <c r="J170" i="63" s="1"/>
  <c r="I8" i="63"/>
  <c r="I86" i="63" s="1"/>
  <c r="I170" i="63" s="1"/>
  <c r="H8" i="63"/>
  <c r="H86" i="63" s="1"/>
  <c r="H170" i="63" s="1"/>
  <c r="G8" i="63"/>
  <c r="G86" i="63" s="1"/>
  <c r="G170" i="63" s="1"/>
  <c r="C5" i="63"/>
  <c r="G269" i="45"/>
  <c r="H267" i="45"/>
  <c r="I267" i="45" s="1"/>
  <c r="J267" i="45" s="1"/>
  <c r="K267" i="45" s="1"/>
  <c r="L267" i="45" s="1"/>
  <c r="M267" i="45" s="1"/>
  <c r="I266" i="45"/>
  <c r="H266" i="45"/>
  <c r="H269" i="45" s="1"/>
  <c r="G258" i="45"/>
  <c r="G252" i="45"/>
  <c r="G260" i="45" s="1"/>
  <c r="G273" i="45" s="1"/>
  <c r="G274" i="45" s="1"/>
  <c r="C241" i="45"/>
  <c r="G230" i="45"/>
  <c r="H228" i="45"/>
  <c r="I228" i="45" s="1"/>
  <c r="J228" i="45" s="1"/>
  <c r="K228" i="45" s="1"/>
  <c r="L228" i="45" s="1"/>
  <c r="M228" i="45" s="1"/>
  <c r="H227" i="45"/>
  <c r="I227" i="45" s="1"/>
  <c r="J227" i="45" s="1"/>
  <c r="K227" i="45" s="1"/>
  <c r="L227" i="45" s="1"/>
  <c r="M227" i="45" s="1"/>
  <c r="L226" i="45"/>
  <c r="M226" i="45" s="1"/>
  <c r="H226" i="45"/>
  <c r="I226" i="45" s="1"/>
  <c r="J226" i="45" s="1"/>
  <c r="K226" i="45" s="1"/>
  <c r="H225" i="45"/>
  <c r="I225" i="45" s="1"/>
  <c r="J225" i="45" s="1"/>
  <c r="K225" i="45" s="1"/>
  <c r="L225" i="45" s="1"/>
  <c r="M225" i="45" s="1"/>
  <c r="H224" i="45"/>
  <c r="I224" i="45" s="1"/>
  <c r="J224" i="45" s="1"/>
  <c r="K224" i="45" s="1"/>
  <c r="L224" i="45" s="1"/>
  <c r="M224" i="45" s="1"/>
  <c r="H223" i="45"/>
  <c r="G217" i="45"/>
  <c r="I215" i="45"/>
  <c r="J215" i="45" s="1"/>
  <c r="K215" i="45" s="1"/>
  <c r="L215" i="45" s="1"/>
  <c r="M215" i="45" s="1"/>
  <c r="H215" i="45"/>
  <c r="I214" i="45"/>
  <c r="J214" i="45" s="1"/>
  <c r="K214" i="45" s="1"/>
  <c r="L214" i="45" s="1"/>
  <c r="M214" i="45" s="1"/>
  <c r="H214" i="45"/>
  <c r="H213" i="45"/>
  <c r="I213" i="45" s="1"/>
  <c r="J213" i="45" s="1"/>
  <c r="K213" i="45" s="1"/>
  <c r="L213" i="45" s="1"/>
  <c r="M213" i="45" s="1"/>
  <c r="M212" i="45"/>
  <c r="I212" i="45"/>
  <c r="J212" i="45" s="1"/>
  <c r="K212" i="45" s="1"/>
  <c r="L212" i="45" s="1"/>
  <c r="H212" i="45"/>
  <c r="H211" i="45"/>
  <c r="I211" i="45" s="1"/>
  <c r="J211" i="45" s="1"/>
  <c r="K211" i="45" s="1"/>
  <c r="L211" i="45" s="1"/>
  <c r="M211" i="45" s="1"/>
  <c r="H210" i="45"/>
  <c r="I210" i="45" s="1"/>
  <c r="J210" i="45" s="1"/>
  <c r="K210" i="45" s="1"/>
  <c r="L210" i="45" s="1"/>
  <c r="M210" i="45" s="1"/>
  <c r="I209" i="45"/>
  <c r="J209" i="45" s="1"/>
  <c r="K209" i="45" s="1"/>
  <c r="L209" i="45" s="1"/>
  <c r="M209" i="45" s="1"/>
  <c r="H209" i="45"/>
  <c r="H208" i="45"/>
  <c r="I208" i="45" s="1"/>
  <c r="J208" i="45" s="1"/>
  <c r="K208" i="45" s="1"/>
  <c r="L208" i="45" s="1"/>
  <c r="M208" i="45" s="1"/>
  <c r="I207" i="45"/>
  <c r="J207" i="45" s="1"/>
  <c r="K207" i="45" s="1"/>
  <c r="L207" i="45" s="1"/>
  <c r="M207" i="45" s="1"/>
  <c r="H207" i="45"/>
  <c r="H206" i="45"/>
  <c r="G200" i="45"/>
  <c r="H198" i="45"/>
  <c r="I198" i="45" s="1"/>
  <c r="J198" i="45" s="1"/>
  <c r="K198" i="45" s="1"/>
  <c r="L198" i="45" s="1"/>
  <c r="M198" i="45" s="1"/>
  <c r="H197" i="45"/>
  <c r="I197" i="45" s="1"/>
  <c r="J197" i="45" s="1"/>
  <c r="K197" i="45" s="1"/>
  <c r="L197" i="45" s="1"/>
  <c r="M197" i="45" s="1"/>
  <c r="H196" i="45"/>
  <c r="I196" i="45" s="1"/>
  <c r="J196" i="45" s="1"/>
  <c r="K196" i="45" s="1"/>
  <c r="L196" i="45" s="1"/>
  <c r="M196" i="45" s="1"/>
  <c r="H195" i="45"/>
  <c r="G187" i="45"/>
  <c r="H186" i="45"/>
  <c r="I186" i="45" s="1"/>
  <c r="J186" i="45" s="1"/>
  <c r="K186" i="45" s="1"/>
  <c r="L186" i="45" s="1"/>
  <c r="M186" i="45" s="1"/>
  <c r="H185" i="45"/>
  <c r="I185" i="45" s="1"/>
  <c r="J185" i="45" s="1"/>
  <c r="K185" i="45" s="1"/>
  <c r="L185" i="45" s="1"/>
  <c r="M185" i="45" s="1"/>
  <c r="H184" i="45"/>
  <c r="I184" i="45" s="1"/>
  <c r="J184" i="45" s="1"/>
  <c r="K184" i="45" s="1"/>
  <c r="L184" i="45" s="1"/>
  <c r="M184" i="45" s="1"/>
  <c r="L183" i="45"/>
  <c r="M183" i="45" s="1"/>
  <c r="J183" i="45"/>
  <c r="K183" i="45" s="1"/>
  <c r="H183" i="45"/>
  <c r="I183" i="45" s="1"/>
  <c r="H182" i="45"/>
  <c r="G180" i="45"/>
  <c r="G189" i="45" s="1"/>
  <c r="H179" i="45"/>
  <c r="I179" i="45" s="1"/>
  <c r="J179" i="45" s="1"/>
  <c r="K179" i="45" s="1"/>
  <c r="L179" i="45" s="1"/>
  <c r="M179" i="45" s="1"/>
  <c r="H178" i="45"/>
  <c r="I178" i="45" s="1"/>
  <c r="J178" i="45" s="1"/>
  <c r="K178" i="45" s="1"/>
  <c r="L178" i="45" s="1"/>
  <c r="M178" i="45" s="1"/>
  <c r="J177" i="45"/>
  <c r="K177" i="45" s="1"/>
  <c r="I177" i="45"/>
  <c r="H177" i="45"/>
  <c r="G164" i="45"/>
  <c r="J162" i="45"/>
  <c r="K162" i="45" s="1"/>
  <c r="L162" i="45" s="1"/>
  <c r="M162" i="45" s="1"/>
  <c r="H162" i="45"/>
  <c r="I162" i="45" s="1"/>
  <c r="H161" i="45"/>
  <c r="I161" i="45" s="1"/>
  <c r="J161" i="45" s="1"/>
  <c r="K161" i="45" s="1"/>
  <c r="L161" i="45" s="1"/>
  <c r="M161" i="45" s="1"/>
  <c r="H160" i="45"/>
  <c r="I160" i="45" s="1"/>
  <c r="J160" i="45" s="1"/>
  <c r="K160" i="45" s="1"/>
  <c r="L160" i="45" s="1"/>
  <c r="M160" i="45" s="1"/>
  <c r="I159" i="45"/>
  <c r="J159" i="45" s="1"/>
  <c r="K159" i="45" s="1"/>
  <c r="L159" i="45" s="1"/>
  <c r="M159" i="45" s="1"/>
  <c r="H159" i="45"/>
  <c r="H158" i="45"/>
  <c r="G152" i="45"/>
  <c r="H150" i="45"/>
  <c r="I150" i="45" s="1"/>
  <c r="J150" i="45" s="1"/>
  <c r="K150" i="45" s="1"/>
  <c r="L150" i="45" s="1"/>
  <c r="M150" i="45" s="1"/>
  <c r="I149" i="45"/>
  <c r="J149" i="45" s="1"/>
  <c r="K149" i="45" s="1"/>
  <c r="L149" i="45" s="1"/>
  <c r="M149" i="45" s="1"/>
  <c r="H149" i="45"/>
  <c r="H148" i="45"/>
  <c r="I148" i="45" s="1"/>
  <c r="J148" i="45" s="1"/>
  <c r="K148" i="45" s="1"/>
  <c r="L148" i="45" s="1"/>
  <c r="M148" i="45" s="1"/>
  <c r="M147" i="45"/>
  <c r="I147" i="45"/>
  <c r="J147" i="45" s="1"/>
  <c r="K147" i="45" s="1"/>
  <c r="L147" i="45" s="1"/>
  <c r="H147" i="45"/>
  <c r="H146" i="45"/>
  <c r="I146" i="45" s="1"/>
  <c r="J146" i="45" s="1"/>
  <c r="G138" i="45"/>
  <c r="G136" i="45"/>
  <c r="H135" i="45"/>
  <c r="I135" i="45" s="1"/>
  <c r="J135" i="45" s="1"/>
  <c r="K135" i="45" s="1"/>
  <c r="L135" i="45" s="1"/>
  <c r="M135" i="45" s="1"/>
  <c r="I134" i="45"/>
  <c r="J134" i="45" s="1"/>
  <c r="K134" i="45" s="1"/>
  <c r="L134" i="45" s="1"/>
  <c r="M134" i="45" s="1"/>
  <c r="H134" i="45"/>
  <c r="H133" i="45"/>
  <c r="I133" i="45" s="1"/>
  <c r="J133" i="45" s="1"/>
  <c r="K133" i="45" s="1"/>
  <c r="L133" i="45" s="1"/>
  <c r="M133" i="45" s="1"/>
  <c r="I132" i="45"/>
  <c r="J132" i="45" s="1"/>
  <c r="K132" i="45" s="1"/>
  <c r="L132" i="45" s="1"/>
  <c r="M132" i="45" s="1"/>
  <c r="H132" i="45"/>
  <c r="H131" i="45"/>
  <c r="G129" i="45"/>
  <c r="I128" i="45"/>
  <c r="J128" i="45" s="1"/>
  <c r="K128" i="45" s="1"/>
  <c r="L128" i="45" s="1"/>
  <c r="M128" i="45" s="1"/>
  <c r="H128" i="45"/>
  <c r="H127" i="45"/>
  <c r="I127" i="45" s="1"/>
  <c r="J127" i="45" s="1"/>
  <c r="K127" i="45" s="1"/>
  <c r="L127" i="45" s="1"/>
  <c r="M127" i="45" s="1"/>
  <c r="J126" i="45"/>
  <c r="K126" i="45" s="1"/>
  <c r="L126" i="45" s="1"/>
  <c r="M126" i="45" s="1"/>
  <c r="I126" i="45"/>
  <c r="H126" i="45"/>
  <c r="H125" i="45"/>
  <c r="I125" i="45" s="1"/>
  <c r="J125" i="45" s="1"/>
  <c r="K125" i="45" s="1"/>
  <c r="L125" i="45" s="1"/>
  <c r="M125" i="45" s="1"/>
  <c r="I124" i="45"/>
  <c r="H124" i="45"/>
  <c r="H120" i="45"/>
  <c r="I120" i="45" s="1"/>
  <c r="J120" i="45" s="1"/>
  <c r="K120" i="45" s="1"/>
  <c r="L120" i="45" s="1"/>
  <c r="M120" i="45" s="1"/>
  <c r="J119" i="45"/>
  <c r="K119" i="45" s="1"/>
  <c r="L119" i="45" s="1"/>
  <c r="M119" i="45" s="1"/>
  <c r="I119" i="45"/>
  <c r="H119" i="45"/>
  <c r="H118" i="45"/>
  <c r="I118" i="45" s="1"/>
  <c r="J118" i="45" s="1"/>
  <c r="K118" i="45" s="1"/>
  <c r="L118" i="45" s="1"/>
  <c r="M118" i="45" s="1"/>
  <c r="H117" i="45"/>
  <c r="I117" i="45" s="1"/>
  <c r="J117" i="45" s="1"/>
  <c r="K117" i="45" s="1"/>
  <c r="L117" i="45" s="1"/>
  <c r="M117" i="45" s="1"/>
  <c r="G113" i="45"/>
  <c r="I86" i="45"/>
  <c r="I170" i="45" s="1"/>
  <c r="C85" i="45"/>
  <c r="D72" i="45"/>
  <c r="D77" i="45" s="1"/>
  <c r="D71" i="45"/>
  <c r="D76" i="45" s="1"/>
  <c r="G63" i="45"/>
  <c r="H62" i="45"/>
  <c r="I62" i="45" s="1"/>
  <c r="J62" i="45" s="1"/>
  <c r="K62" i="45" s="1"/>
  <c r="L62" i="45" s="1"/>
  <c r="M62" i="45" s="1"/>
  <c r="G60" i="45"/>
  <c r="G64" i="45" s="1"/>
  <c r="G61" i="45" s="1"/>
  <c r="J59" i="45"/>
  <c r="K59" i="45" s="1"/>
  <c r="L59" i="45" s="1"/>
  <c r="M59" i="45" s="1"/>
  <c r="I59" i="45"/>
  <c r="H59" i="45"/>
  <c r="H58" i="45"/>
  <c r="G57" i="45"/>
  <c r="G44" i="45" s="1"/>
  <c r="H56" i="45"/>
  <c r="I56" i="45" s="1"/>
  <c r="J56" i="45" s="1"/>
  <c r="K56" i="45" s="1"/>
  <c r="L56" i="45" s="1"/>
  <c r="M56" i="45" s="1"/>
  <c r="H55" i="45"/>
  <c r="I55" i="45" s="1"/>
  <c r="H51" i="45"/>
  <c r="I51" i="45" s="1"/>
  <c r="J51" i="45" s="1"/>
  <c r="K51" i="45" s="1"/>
  <c r="L51" i="45" s="1"/>
  <c r="M51" i="45" s="1"/>
  <c r="G48" i="45"/>
  <c r="J36" i="45"/>
  <c r="I36" i="45"/>
  <c r="H36" i="45"/>
  <c r="H113" i="45" s="1"/>
  <c r="G35" i="45"/>
  <c r="K34" i="45"/>
  <c r="L34" i="45" s="1"/>
  <c r="M34" i="45" s="1"/>
  <c r="H34" i="45"/>
  <c r="I34" i="45" s="1"/>
  <c r="J34" i="45" s="1"/>
  <c r="G29" i="45"/>
  <c r="H28" i="45"/>
  <c r="H27" i="45"/>
  <c r="I27" i="45" s="1"/>
  <c r="H26" i="45"/>
  <c r="G26" i="45"/>
  <c r="H25" i="45"/>
  <c r="J24" i="45"/>
  <c r="I24" i="45"/>
  <c r="H24" i="45"/>
  <c r="J18" i="45"/>
  <c r="K18" i="45" s="1"/>
  <c r="L18" i="45" s="1"/>
  <c r="M18" i="45" s="1"/>
  <c r="H18" i="45"/>
  <c r="I18" i="45" s="1"/>
  <c r="M8" i="45"/>
  <c r="M86" i="45" s="1"/>
  <c r="M170" i="45" s="1"/>
  <c r="L8" i="45"/>
  <c r="L86" i="45" s="1"/>
  <c r="L170" i="45" s="1"/>
  <c r="K8" i="45"/>
  <c r="K86" i="45" s="1"/>
  <c r="K170" i="45" s="1"/>
  <c r="J8" i="45"/>
  <c r="J86" i="45" s="1"/>
  <c r="J170" i="45" s="1"/>
  <c r="I8" i="45"/>
  <c r="H8" i="45"/>
  <c r="H86" i="45" s="1"/>
  <c r="H170" i="45" s="1"/>
  <c r="G8" i="45"/>
  <c r="G86" i="45" s="1"/>
  <c r="G170" i="45" s="1"/>
  <c r="C5" i="45"/>
  <c r="G269" i="46"/>
  <c r="H267" i="46"/>
  <c r="I267" i="46" s="1"/>
  <c r="J267" i="46" s="1"/>
  <c r="K267" i="46" s="1"/>
  <c r="L267" i="46" s="1"/>
  <c r="M267" i="46" s="1"/>
  <c r="H266" i="46"/>
  <c r="I266" i="46" s="1"/>
  <c r="G260" i="46"/>
  <c r="G258" i="46"/>
  <c r="G252" i="46"/>
  <c r="C241" i="46"/>
  <c r="G230" i="46"/>
  <c r="H228" i="46"/>
  <c r="I228" i="46" s="1"/>
  <c r="J228" i="46" s="1"/>
  <c r="K228" i="46" s="1"/>
  <c r="L228" i="46" s="1"/>
  <c r="M228" i="46" s="1"/>
  <c r="K227" i="46"/>
  <c r="L227" i="46" s="1"/>
  <c r="M227" i="46" s="1"/>
  <c r="J227" i="46"/>
  <c r="H227" i="46"/>
  <c r="I227" i="46" s="1"/>
  <c r="I226" i="46"/>
  <c r="J226" i="46" s="1"/>
  <c r="K226" i="46" s="1"/>
  <c r="L226" i="46" s="1"/>
  <c r="M226" i="46" s="1"/>
  <c r="H226" i="46"/>
  <c r="H225" i="46"/>
  <c r="I225" i="46" s="1"/>
  <c r="J225" i="46" s="1"/>
  <c r="K225" i="46" s="1"/>
  <c r="L225" i="46" s="1"/>
  <c r="M225" i="46" s="1"/>
  <c r="H224" i="46"/>
  <c r="I224" i="46" s="1"/>
  <c r="J224" i="46" s="1"/>
  <c r="K224" i="46" s="1"/>
  <c r="L224" i="46" s="1"/>
  <c r="M224" i="46" s="1"/>
  <c r="H223" i="46"/>
  <c r="G217" i="46"/>
  <c r="H215" i="46"/>
  <c r="I215" i="46" s="1"/>
  <c r="J215" i="46" s="1"/>
  <c r="K215" i="46" s="1"/>
  <c r="L215" i="46" s="1"/>
  <c r="M215" i="46" s="1"/>
  <c r="M214" i="46"/>
  <c r="I214" i="46"/>
  <c r="J214" i="46" s="1"/>
  <c r="K214" i="46" s="1"/>
  <c r="L214" i="46" s="1"/>
  <c r="H214" i="46"/>
  <c r="H213" i="46"/>
  <c r="I213" i="46" s="1"/>
  <c r="J213" i="46" s="1"/>
  <c r="K213" i="46" s="1"/>
  <c r="L213" i="46" s="1"/>
  <c r="M213" i="46" s="1"/>
  <c r="M212" i="46"/>
  <c r="H212" i="46"/>
  <c r="I212" i="46" s="1"/>
  <c r="J212" i="46" s="1"/>
  <c r="K212" i="46" s="1"/>
  <c r="L212" i="46" s="1"/>
  <c r="L211" i="46"/>
  <c r="M211" i="46" s="1"/>
  <c r="K211" i="46"/>
  <c r="H211" i="46"/>
  <c r="I211" i="46" s="1"/>
  <c r="J211" i="46" s="1"/>
  <c r="I210" i="46"/>
  <c r="J210" i="46" s="1"/>
  <c r="K210" i="46" s="1"/>
  <c r="L210" i="46" s="1"/>
  <c r="M210" i="46" s="1"/>
  <c r="H210" i="46"/>
  <c r="H209" i="46"/>
  <c r="I209" i="46" s="1"/>
  <c r="J209" i="46" s="1"/>
  <c r="K209" i="46" s="1"/>
  <c r="L209" i="46" s="1"/>
  <c r="M209" i="46" s="1"/>
  <c r="H208" i="46"/>
  <c r="I208" i="46" s="1"/>
  <c r="J208" i="46" s="1"/>
  <c r="K208" i="46" s="1"/>
  <c r="L208" i="46" s="1"/>
  <c r="M208" i="46" s="1"/>
  <c r="H207" i="46"/>
  <c r="I207" i="46" s="1"/>
  <c r="J207" i="46" s="1"/>
  <c r="K207" i="46" s="1"/>
  <c r="L207" i="46" s="1"/>
  <c r="M207" i="46" s="1"/>
  <c r="H206" i="46"/>
  <c r="I206" i="46" s="1"/>
  <c r="J206" i="46" s="1"/>
  <c r="G200" i="46"/>
  <c r="G234" i="46" s="1"/>
  <c r="K198" i="46"/>
  <c r="L198" i="46" s="1"/>
  <c r="M198" i="46" s="1"/>
  <c r="H198" i="46"/>
  <c r="I198" i="46" s="1"/>
  <c r="J198" i="46" s="1"/>
  <c r="H197" i="46"/>
  <c r="I197" i="46" s="1"/>
  <c r="J197" i="46" s="1"/>
  <c r="K197" i="46" s="1"/>
  <c r="L197" i="46" s="1"/>
  <c r="M197" i="46" s="1"/>
  <c r="J196" i="46"/>
  <c r="K196" i="46" s="1"/>
  <c r="L196" i="46" s="1"/>
  <c r="M196" i="46" s="1"/>
  <c r="H196" i="46"/>
  <c r="I196" i="46" s="1"/>
  <c r="H195" i="46"/>
  <c r="I195" i="46" s="1"/>
  <c r="G187" i="46"/>
  <c r="H186" i="46"/>
  <c r="I186" i="46" s="1"/>
  <c r="J186" i="46" s="1"/>
  <c r="K186" i="46" s="1"/>
  <c r="L186" i="46" s="1"/>
  <c r="M186" i="46" s="1"/>
  <c r="L185" i="46"/>
  <c r="M185" i="46" s="1"/>
  <c r="H185" i="46"/>
  <c r="I185" i="46" s="1"/>
  <c r="J185" i="46" s="1"/>
  <c r="K185" i="46" s="1"/>
  <c r="H184" i="46"/>
  <c r="I184" i="46" s="1"/>
  <c r="J184" i="46" s="1"/>
  <c r="K184" i="46" s="1"/>
  <c r="L184" i="46" s="1"/>
  <c r="M184" i="46" s="1"/>
  <c r="L183" i="46"/>
  <c r="M183" i="46" s="1"/>
  <c r="I183" i="46"/>
  <c r="J183" i="46" s="1"/>
  <c r="K183" i="46" s="1"/>
  <c r="H183" i="46"/>
  <c r="I182" i="46"/>
  <c r="H182" i="46"/>
  <c r="G180" i="46"/>
  <c r="H179" i="46"/>
  <c r="I179" i="46" s="1"/>
  <c r="J179" i="46" s="1"/>
  <c r="K179" i="46" s="1"/>
  <c r="L179" i="46" s="1"/>
  <c r="M179" i="46" s="1"/>
  <c r="H178" i="46"/>
  <c r="I178" i="46" s="1"/>
  <c r="J178" i="46" s="1"/>
  <c r="K178" i="46" s="1"/>
  <c r="L178" i="46" s="1"/>
  <c r="M178" i="46" s="1"/>
  <c r="H177" i="46"/>
  <c r="G164" i="46"/>
  <c r="H162" i="46"/>
  <c r="I162" i="46" s="1"/>
  <c r="J162" i="46" s="1"/>
  <c r="K162" i="46" s="1"/>
  <c r="L162" i="46" s="1"/>
  <c r="M162" i="46" s="1"/>
  <c r="K161" i="46"/>
  <c r="L161" i="46" s="1"/>
  <c r="M161" i="46" s="1"/>
  <c r="J161" i="46"/>
  <c r="H161" i="46"/>
  <c r="I161" i="46" s="1"/>
  <c r="H160" i="46"/>
  <c r="I160" i="46" s="1"/>
  <c r="J160" i="46" s="1"/>
  <c r="K160" i="46" s="1"/>
  <c r="L160" i="46" s="1"/>
  <c r="M160" i="46" s="1"/>
  <c r="H159" i="46"/>
  <c r="I159" i="46" s="1"/>
  <c r="J159" i="46" s="1"/>
  <c r="K159" i="46" s="1"/>
  <c r="L159" i="46" s="1"/>
  <c r="M159" i="46" s="1"/>
  <c r="H158" i="46"/>
  <c r="G152" i="46"/>
  <c r="H150" i="46"/>
  <c r="I150" i="46" s="1"/>
  <c r="J150" i="46" s="1"/>
  <c r="K150" i="46" s="1"/>
  <c r="L150" i="46" s="1"/>
  <c r="M150" i="46" s="1"/>
  <c r="L149" i="46"/>
  <c r="M149" i="46" s="1"/>
  <c r="I149" i="46"/>
  <c r="J149" i="46" s="1"/>
  <c r="K149" i="46" s="1"/>
  <c r="H149" i="46"/>
  <c r="H148" i="46"/>
  <c r="I148" i="46" s="1"/>
  <c r="J148" i="46" s="1"/>
  <c r="K148" i="46" s="1"/>
  <c r="L148" i="46" s="1"/>
  <c r="M148" i="46" s="1"/>
  <c r="I147" i="46"/>
  <c r="J147" i="46" s="1"/>
  <c r="K147" i="46" s="1"/>
  <c r="L147" i="46" s="1"/>
  <c r="M147" i="46" s="1"/>
  <c r="H147" i="46"/>
  <c r="H146" i="46"/>
  <c r="I146" i="46" s="1"/>
  <c r="G136" i="46"/>
  <c r="H135" i="46"/>
  <c r="I135" i="46" s="1"/>
  <c r="J135" i="46" s="1"/>
  <c r="K135" i="46" s="1"/>
  <c r="L135" i="46" s="1"/>
  <c r="M135" i="46" s="1"/>
  <c r="J134" i="46"/>
  <c r="K134" i="46" s="1"/>
  <c r="L134" i="46" s="1"/>
  <c r="M134" i="46" s="1"/>
  <c r="I134" i="46"/>
  <c r="H134" i="46"/>
  <c r="H133" i="46"/>
  <c r="I133" i="46" s="1"/>
  <c r="J133" i="46" s="1"/>
  <c r="K133" i="46" s="1"/>
  <c r="L133" i="46" s="1"/>
  <c r="M133" i="46" s="1"/>
  <c r="I132" i="46"/>
  <c r="J132" i="46" s="1"/>
  <c r="K132" i="46" s="1"/>
  <c r="L132" i="46" s="1"/>
  <c r="M132" i="46" s="1"/>
  <c r="H132" i="46"/>
  <c r="H131" i="46"/>
  <c r="G129" i="46"/>
  <c r="H128" i="46"/>
  <c r="I128" i="46" s="1"/>
  <c r="J128" i="46" s="1"/>
  <c r="K128" i="46" s="1"/>
  <c r="L128" i="46" s="1"/>
  <c r="M128" i="46" s="1"/>
  <c r="H127" i="46"/>
  <c r="I127" i="46" s="1"/>
  <c r="J127" i="46" s="1"/>
  <c r="K127" i="46" s="1"/>
  <c r="L127" i="46" s="1"/>
  <c r="M127" i="46" s="1"/>
  <c r="I126" i="46"/>
  <c r="J126" i="46" s="1"/>
  <c r="K126" i="46" s="1"/>
  <c r="L126" i="46" s="1"/>
  <c r="M126" i="46" s="1"/>
  <c r="H126" i="46"/>
  <c r="H125" i="46"/>
  <c r="H124" i="46"/>
  <c r="I124" i="46" s="1"/>
  <c r="J124" i="46" s="1"/>
  <c r="K124" i="46" s="1"/>
  <c r="I120" i="46"/>
  <c r="J120" i="46" s="1"/>
  <c r="K120" i="46" s="1"/>
  <c r="L120" i="46" s="1"/>
  <c r="M120" i="46" s="1"/>
  <c r="H120" i="46"/>
  <c r="K119" i="46"/>
  <c r="L119" i="46" s="1"/>
  <c r="M119" i="46" s="1"/>
  <c r="I119" i="46"/>
  <c r="J119" i="46" s="1"/>
  <c r="H119" i="46"/>
  <c r="K118" i="46"/>
  <c r="L118" i="46" s="1"/>
  <c r="M118" i="46" s="1"/>
  <c r="H118" i="46"/>
  <c r="I118" i="46" s="1"/>
  <c r="J118" i="46" s="1"/>
  <c r="H117" i="46"/>
  <c r="I117" i="46" s="1"/>
  <c r="J117" i="46" s="1"/>
  <c r="K117" i="46" s="1"/>
  <c r="L117" i="46" s="1"/>
  <c r="M117" i="46" s="1"/>
  <c r="G113" i="46"/>
  <c r="G106" i="46"/>
  <c r="C85" i="46"/>
  <c r="D72" i="46"/>
  <c r="D77" i="46" s="1"/>
  <c r="D71" i="46"/>
  <c r="D76" i="46" s="1"/>
  <c r="G63" i="46"/>
  <c r="I62" i="46"/>
  <c r="J62" i="46" s="1"/>
  <c r="K62" i="46" s="1"/>
  <c r="L62" i="46" s="1"/>
  <c r="M62" i="46" s="1"/>
  <c r="H62" i="46"/>
  <c r="G60" i="46"/>
  <c r="I59" i="46"/>
  <c r="J59" i="46" s="1"/>
  <c r="K59" i="46" s="1"/>
  <c r="L59" i="46" s="1"/>
  <c r="M59" i="46" s="1"/>
  <c r="H59" i="46"/>
  <c r="H58" i="46"/>
  <c r="G57" i="46"/>
  <c r="G72" i="46" s="1"/>
  <c r="G77" i="46" s="1"/>
  <c r="H56" i="46"/>
  <c r="H55" i="46"/>
  <c r="I55" i="46" s="1"/>
  <c r="J55" i="46" s="1"/>
  <c r="K55" i="46" s="1"/>
  <c r="H51" i="46"/>
  <c r="I51" i="46" s="1"/>
  <c r="J51" i="46" s="1"/>
  <c r="K51" i="46" s="1"/>
  <c r="L51" i="46" s="1"/>
  <c r="M51" i="46" s="1"/>
  <c r="H36" i="46"/>
  <c r="G35" i="46"/>
  <c r="H34" i="46"/>
  <c r="I34" i="46" s="1"/>
  <c r="J34" i="46" s="1"/>
  <c r="K34" i="46" s="1"/>
  <c r="L34" i="46" s="1"/>
  <c r="M34" i="46" s="1"/>
  <c r="G29" i="46"/>
  <c r="H28" i="46"/>
  <c r="I28" i="46" s="1"/>
  <c r="J28" i="46" s="1"/>
  <c r="K28" i="46" s="1"/>
  <c r="L28" i="46" s="1"/>
  <c r="M28" i="46" s="1"/>
  <c r="H27" i="46"/>
  <c r="G26" i="46"/>
  <c r="H25" i="46"/>
  <c r="H24" i="46"/>
  <c r="K18" i="46"/>
  <c r="L18" i="46" s="1"/>
  <c r="M18" i="46" s="1"/>
  <c r="H18" i="46"/>
  <c r="I18" i="46" s="1"/>
  <c r="J18" i="46" s="1"/>
  <c r="M8" i="46"/>
  <c r="M86" i="46" s="1"/>
  <c r="M170" i="46" s="1"/>
  <c r="L8" i="46"/>
  <c r="L86" i="46" s="1"/>
  <c r="L170" i="46" s="1"/>
  <c r="K8" i="46"/>
  <c r="K86" i="46" s="1"/>
  <c r="K170" i="46" s="1"/>
  <c r="J8" i="46"/>
  <c r="J86" i="46" s="1"/>
  <c r="J170" i="46" s="1"/>
  <c r="I8" i="46"/>
  <c r="I86" i="46" s="1"/>
  <c r="I170" i="46" s="1"/>
  <c r="H8" i="46"/>
  <c r="H86" i="46" s="1"/>
  <c r="H170" i="46" s="1"/>
  <c r="G8" i="46"/>
  <c r="G86" i="46" s="1"/>
  <c r="G170" i="46" s="1"/>
  <c r="C5" i="46"/>
  <c r="G269" i="47"/>
  <c r="H267" i="47"/>
  <c r="I267" i="47" s="1"/>
  <c r="J267" i="47" s="1"/>
  <c r="K267" i="47" s="1"/>
  <c r="L267" i="47" s="1"/>
  <c r="M267" i="47" s="1"/>
  <c r="I266" i="47"/>
  <c r="H266" i="47"/>
  <c r="H269" i="47" s="1"/>
  <c r="G258" i="47"/>
  <c r="G252" i="47"/>
  <c r="G260" i="47" s="1"/>
  <c r="G273" i="47" s="1"/>
  <c r="G274" i="47" s="1"/>
  <c r="C241" i="47"/>
  <c r="G230" i="47"/>
  <c r="H228" i="47"/>
  <c r="I228" i="47" s="1"/>
  <c r="J228" i="47" s="1"/>
  <c r="K228" i="47" s="1"/>
  <c r="L228" i="47" s="1"/>
  <c r="M228" i="47" s="1"/>
  <c r="J227" i="47"/>
  <c r="K227" i="47" s="1"/>
  <c r="L227" i="47" s="1"/>
  <c r="M227" i="47" s="1"/>
  <c r="H227" i="47"/>
  <c r="I227" i="47" s="1"/>
  <c r="H226" i="47"/>
  <c r="I226" i="47" s="1"/>
  <c r="J226" i="47" s="1"/>
  <c r="K226" i="47" s="1"/>
  <c r="L226" i="47" s="1"/>
  <c r="M226" i="47" s="1"/>
  <c r="J225" i="47"/>
  <c r="K225" i="47" s="1"/>
  <c r="L225" i="47" s="1"/>
  <c r="M225" i="47" s="1"/>
  <c r="H225" i="47"/>
  <c r="I225" i="47" s="1"/>
  <c r="H224" i="47"/>
  <c r="I224" i="47" s="1"/>
  <c r="J224" i="47" s="1"/>
  <c r="K224" i="47" s="1"/>
  <c r="L224" i="47" s="1"/>
  <c r="M224" i="47" s="1"/>
  <c r="H223" i="47"/>
  <c r="G217" i="47"/>
  <c r="H215" i="47"/>
  <c r="I215" i="47" s="1"/>
  <c r="J215" i="47" s="1"/>
  <c r="K215" i="47" s="1"/>
  <c r="L215" i="47" s="1"/>
  <c r="M215" i="47" s="1"/>
  <c r="I214" i="47"/>
  <c r="J214" i="47" s="1"/>
  <c r="K214" i="47" s="1"/>
  <c r="L214" i="47" s="1"/>
  <c r="M214" i="47" s="1"/>
  <c r="H214" i="47"/>
  <c r="H213" i="47"/>
  <c r="I213" i="47" s="1"/>
  <c r="J213" i="47" s="1"/>
  <c r="K213" i="47" s="1"/>
  <c r="L213" i="47" s="1"/>
  <c r="M213" i="47" s="1"/>
  <c r="H212" i="47"/>
  <c r="I212" i="47" s="1"/>
  <c r="J212" i="47" s="1"/>
  <c r="K212" i="47" s="1"/>
  <c r="L212" i="47" s="1"/>
  <c r="M212" i="47" s="1"/>
  <c r="H211" i="47"/>
  <c r="I211" i="47" s="1"/>
  <c r="J211" i="47" s="1"/>
  <c r="K211" i="47" s="1"/>
  <c r="L211" i="47" s="1"/>
  <c r="M211" i="47" s="1"/>
  <c r="I210" i="47"/>
  <c r="J210" i="47" s="1"/>
  <c r="K210" i="47" s="1"/>
  <c r="L210" i="47" s="1"/>
  <c r="M210" i="47" s="1"/>
  <c r="H210" i="47"/>
  <c r="H209" i="47"/>
  <c r="I209" i="47" s="1"/>
  <c r="J209" i="47" s="1"/>
  <c r="K209" i="47" s="1"/>
  <c r="L209" i="47" s="1"/>
  <c r="M209" i="47" s="1"/>
  <c r="H208" i="47"/>
  <c r="I208" i="47" s="1"/>
  <c r="J208" i="47" s="1"/>
  <c r="K208" i="47" s="1"/>
  <c r="L208" i="47" s="1"/>
  <c r="M208" i="47" s="1"/>
  <c r="H207" i="47"/>
  <c r="I207" i="47" s="1"/>
  <c r="J207" i="47" s="1"/>
  <c r="K207" i="47" s="1"/>
  <c r="L207" i="47" s="1"/>
  <c r="M207" i="47" s="1"/>
  <c r="I206" i="47"/>
  <c r="H206" i="47"/>
  <c r="G200" i="47"/>
  <c r="G234" i="47" s="1"/>
  <c r="J198" i="47"/>
  <c r="K198" i="47" s="1"/>
  <c r="L198" i="47" s="1"/>
  <c r="M198" i="47" s="1"/>
  <c r="H198" i="47"/>
  <c r="I198" i="47" s="1"/>
  <c r="H197" i="47"/>
  <c r="I197" i="47" s="1"/>
  <c r="J197" i="47" s="1"/>
  <c r="K197" i="47" s="1"/>
  <c r="L197" i="47" s="1"/>
  <c r="M197" i="47" s="1"/>
  <c r="J196" i="47"/>
  <c r="K196" i="47" s="1"/>
  <c r="L196" i="47" s="1"/>
  <c r="M196" i="47" s="1"/>
  <c r="H196" i="47"/>
  <c r="I196" i="47" s="1"/>
  <c r="H195" i="47"/>
  <c r="G187" i="47"/>
  <c r="H186" i="47"/>
  <c r="I186" i="47" s="1"/>
  <c r="J186" i="47" s="1"/>
  <c r="K186" i="47" s="1"/>
  <c r="L186" i="47" s="1"/>
  <c r="M186" i="47" s="1"/>
  <c r="H185" i="47"/>
  <c r="I185" i="47" s="1"/>
  <c r="J185" i="47" s="1"/>
  <c r="K185" i="47" s="1"/>
  <c r="L185" i="47" s="1"/>
  <c r="M185" i="47" s="1"/>
  <c r="H184" i="47"/>
  <c r="I184" i="47" s="1"/>
  <c r="J184" i="47" s="1"/>
  <c r="K184" i="47" s="1"/>
  <c r="L184" i="47" s="1"/>
  <c r="M184" i="47" s="1"/>
  <c r="H183" i="47"/>
  <c r="I183" i="47" s="1"/>
  <c r="J183" i="47" s="1"/>
  <c r="K183" i="47" s="1"/>
  <c r="L183" i="47" s="1"/>
  <c r="M183" i="47" s="1"/>
  <c r="H182" i="47"/>
  <c r="I182" i="47" s="1"/>
  <c r="G180" i="47"/>
  <c r="H179" i="47"/>
  <c r="I179" i="47" s="1"/>
  <c r="J179" i="47" s="1"/>
  <c r="K179" i="47" s="1"/>
  <c r="L179" i="47" s="1"/>
  <c r="M179" i="47" s="1"/>
  <c r="H178" i="47"/>
  <c r="I178" i="47" s="1"/>
  <c r="J178" i="47" s="1"/>
  <c r="K178" i="47" s="1"/>
  <c r="L178" i="47" s="1"/>
  <c r="M178" i="47" s="1"/>
  <c r="H177" i="47"/>
  <c r="G164" i="47"/>
  <c r="H162" i="47"/>
  <c r="I162" i="47" s="1"/>
  <c r="J162" i="47" s="1"/>
  <c r="K162" i="47" s="1"/>
  <c r="L162" i="47" s="1"/>
  <c r="M162" i="47" s="1"/>
  <c r="H161" i="47"/>
  <c r="I161" i="47" s="1"/>
  <c r="J161" i="47" s="1"/>
  <c r="K161" i="47" s="1"/>
  <c r="L161" i="47" s="1"/>
  <c r="M161" i="47" s="1"/>
  <c r="H160" i="47"/>
  <c r="I160" i="47" s="1"/>
  <c r="J160" i="47" s="1"/>
  <c r="K160" i="47" s="1"/>
  <c r="L160" i="47" s="1"/>
  <c r="M160" i="47" s="1"/>
  <c r="H159" i="47"/>
  <c r="I159" i="47" s="1"/>
  <c r="J159" i="47" s="1"/>
  <c r="K159" i="47" s="1"/>
  <c r="L159" i="47" s="1"/>
  <c r="M159" i="47" s="1"/>
  <c r="H158" i="47"/>
  <c r="G152" i="47"/>
  <c r="H150" i="47"/>
  <c r="I150" i="47" s="1"/>
  <c r="J150" i="47" s="1"/>
  <c r="K150" i="47" s="1"/>
  <c r="L150" i="47" s="1"/>
  <c r="M150" i="47" s="1"/>
  <c r="I149" i="47"/>
  <c r="J149" i="47" s="1"/>
  <c r="K149" i="47" s="1"/>
  <c r="L149" i="47" s="1"/>
  <c r="M149" i="47" s="1"/>
  <c r="H149" i="47"/>
  <c r="H148" i="47"/>
  <c r="I148" i="47" s="1"/>
  <c r="J148" i="47" s="1"/>
  <c r="K148" i="47" s="1"/>
  <c r="L148" i="47" s="1"/>
  <c r="M148" i="47" s="1"/>
  <c r="I147" i="47"/>
  <c r="J147" i="47" s="1"/>
  <c r="K147" i="47" s="1"/>
  <c r="L147" i="47" s="1"/>
  <c r="M147" i="47" s="1"/>
  <c r="H147" i="47"/>
  <c r="I146" i="47"/>
  <c r="J146" i="47" s="1"/>
  <c r="K146" i="47" s="1"/>
  <c r="H146" i="47"/>
  <c r="H152" i="47" s="1"/>
  <c r="G136" i="47"/>
  <c r="H135" i="47"/>
  <c r="I135" i="47" s="1"/>
  <c r="J135" i="47" s="1"/>
  <c r="K135" i="47" s="1"/>
  <c r="L135" i="47" s="1"/>
  <c r="M135" i="47" s="1"/>
  <c r="H134" i="47"/>
  <c r="I134" i="47" s="1"/>
  <c r="J134" i="47" s="1"/>
  <c r="K134" i="47" s="1"/>
  <c r="L134" i="47" s="1"/>
  <c r="M134" i="47" s="1"/>
  <c r="H133" i="47"/>
  <c r="I133" i="47" s="1"/>
  <c r="J133" i="47" s="1"/>
  <c r="K133" i="47" s="1"/>
  <c r="L133" i="47" s="1"/>
  <c r="M133" i="47" s="1"/>
  <c r="H132" i="47"/>
  <c r="I132" i="47" s="1"/>
  <c r="J132" i="47" s="1"/>
  <c r="K132" i="47" s="1"/>
  <c r="L132" i="47" s="1"/>
  <c r="M132" i="47" s="1"/>
  <c r="H131" i="47"/>
  <c r="G129" i="47"/>
  <c r="G138" i="47" s="1"/>
  <c r="H128" i="47"/>
  <c r="I128" i="47" s="1"/>
  <c r="J128" i="47" s="1"/>
  <c r="K128" i="47" s="1"/>
  <c r="L128" i="47" s="1"/>
  <c r="M128" i="47" s="1"/>
  <c r="I127" i="47"/>
  <c r="J127" i="47" s="1"/>
  <c r="K127" i="47" s="1"/>
  <c r="L127" i="47" s="1"/>
  <c r="M127" i="47" s="1"/>
  <c r="H127" i="47"/>
  <c r="I126" i="47"/>
  <c r="J126" i="47" s="1"/>
  <c r="K126" i="47" s="1"/>
  <c r="L126" i="47" s="1"/>
  <c r="M126" i="47" s="1"/>
  <c r="H126" i="47"/>
  <c r="H125" i="47"/>
  <c r="I124" i="47"/>
  <c r="H124" i="47"/>
  <c r="I120" i="47"/>
  <c r="J120" i="47" s="1"/>
  <c r="K120" i="47" s="1"/>
  <c r="L120" i="47" s="1"/>
  <c r="M120" i="47" s="1"/>
  <c r="H120" i="47"/>
  <c r="H119" i="47"/>
  <c r="I119" i="47" s="1"/>
  <c r="J119" i="47" s="1"/>
  <c r="K119" i="47" s="1"/>
  <c r="L119" i="47" s="1"/>
  <c r="M119" i="47" s="1"/>
  <c r="I118" i="47"/>
  <c r="J118" i="47" s="1"/>
  <c r="K118" i="47" s="1"/>
  <c r="L118" i="47" s="1"/>
  <c r="M118" i="47" s="1"/>
  <c r="H118" i="47"/>
  <c r="I117" i="47"/>
  <c r="J117" i="47" s="1"/>
  <c r="K117" i="47" s="1"/>
  <c r="L117" i="47" s="1"/>
  <c r="M117" i="47" s="1"/>
  <c r="H117" i="47"/>
  <c r="G113" i="47"/>
  <c r="C85" i="47"/>
  <c r="D72" i="47"/>
  <c r="D77" i="47" s="1"/>
  <c r="D71" i="47"/>
  <c r="D76" i="47" s="1"/>
  <c r="G63" i="47"/>
  <c r="J62" i="47"/>
  <c r="K62" i="47" s="1"/>
  <c r="L62" i="47" s="1"/>
  <c r="M62" i="47" s="1"/>
  <c r="H62" i="47"/>
  <c r="I62" i="47" s="1"/>
  <c r="G60" i="47"/>
  <c r="H59" i="47"/>
  <c r="I59" i="47" s="1"/>
  <c r="J59" i="47" s="1"/>
  <c r="K59" i="47" s="1"/>
  <c r="L59" i="47" s="1"/>
  <c r="M59" i="47" s="1"/>
  <c r="H58" i="47"/>
  <c r="G57" i="47"/>
  <c r="G45" i="47" s="1"/>
  <c r="H56" i="47"/>
  <c r="I56" i="47" s="1"/>
  <c r="J56" i="47" s="1"/>
  <c r="K56" i="47" s="1"/>
  <c r="L56" i="47" s="1"/>
  <c r="M56" i="47" s="1"/>
  <c r="H55" i="47"/>
  <c r="I51" i="47"/>
  <c r="J51" i="47" s="1"/>
  <c r="K51" i="47" s="1"/>
  <c r="L51" i="47" s="1"/>
  <c r="M51" i="47" s="1"/>
  <c r="H51" i="47"/>
  <c r="H36" i="47"/>
  <c r="G35" i="47"/>
  <c r="H34" i="47"/>
  <c r="I34" i="47" s="1"/>
  <c r="J34" i="47" s="1"/>
  <c r="K34" i="47" s="1"/>
  <c r="L34" i="47" s="1"/>
  <c r="M34" i="47" s="1"/>
  <c r="G29" i="47"/>
  <c r="H28" i="47"/>
  <c r="I28" i="47" s="1"/>
  <c r="J28" i="47" s="1"/>
  <c r="K28" i="47" s="1"/>
  <c r="L28" i="47" s="1"/>
  <c r="M28" i="47" s="1"/>
  <c r="H27" i="47"/>
  <c r="H35" i="47" s="1"/>
  <c r="G26" i="47"/>
  <c r="G106" i="47" s="1"/>
  <c r="H25" i="47"/>
  <c r="H24" i="47"/>
  <c r="I24" i="47" s="1"/>
  <c r="I18" i="47"/>
  <c r="J18" i="47" s="1"/>
  <c r="K18" i="47" s="1"/>
  <c r="L18" i="47" s="1"/>
  <c r="M18" i="47" s="1"/>
  <c r="H18" i="47"/>
  <c r="M8" i="47"/>
  <c r="M86" i="47" s="1"/>
  <c r="M170" i="47" s="1"/>
  <c r="L8" i="47"/>
  <c r="L86" i="47" s="1"/>
  <c r="L170" i="47" s="1"/>
  <c r="K8" i="47"/>
  <c r="K86" i="47" s="1"/>
  <c r="K170" i="47" s="1"/>
  <c r="J8" i="47"/>
  <c r="J86" i="47" s="1"/>
  <c r="J170" i="47" s="1"/>
  <c r="I8" i="47"/>
  <c r="I86" i="47" s="1"/>
  <c r="I170" i="47" s="1"/>
  <c r="H8" i="47"/>
  <c r="H86" i="47" s="1"/>
  <c r="H170" i="47" s="1"/>
  <c r="G8" i="47"/>
  <c r="G86" i="47" s="1"/>
  <c r="G170" i="47" s="1"/>
  <c r="C5" i="47"/>
  <c r="G269" i="48"/>
  <c r="H267" i="48"/>
  <c r="I267" i="48" s="1"/>
  <c r="J267" i="48" s="1"/>
  <c r="K267" i="48" s="1"/>
  <c r="L267" i="48" s="1"/>
  <c r="M267" i="48" s="1"/>
  <c r="H266" i="48"/>
  <c r="I266" i="48" s="1"/>
  <c r="G260" i="48"/>
  <c r="G273" i="48" s="1"/>
  <c r="G274" i="48" s="1"/>
  <c r="G258" i="48"/>
  <c r="G252" i="48"/>
  <c r="C241" i="48"/>
  <c r="G230" i="48"/>
  <c r="H228" i="48"/>
  <c r="I228" i="48" s="1"/>
  <c r="J228" i="48" s="1"/>
  <c r="K228" i="48" s="1"/>
  <c r="L228" i="48" s="1"/>
  <c r="M228" i="48" s="1"/>
  <c r="H227" i="48"/>
  <c r="I227" i="48" s="1"/>
  <c r="J227" i="48" s="1"/>
  <c r="K227" i="48" s="1"/>
  <c r="L227" i="48" s="1"/>
  <c r="M227" i="48" s="1"/>
  <c r="K226" i="48"/>
  <c r="L226" i="48" s="1"/>
  <c r="M226" i="48" s="1"/>
  <c r="H226" i="48"/>
  <c r="I226" i="48" s="1"/>
  <c r="J226" i="48" s="1"/>
  <c r="H225" i="48"/>
  <c r="I225" i="48" s="1"/>
  <c r="J225" i="48" s="1"/>
  <c r="K225" i="48" s="1"/>
  <c r="L225" i="48" s="1"/>
  <c r="M225" i="48" s="1"/>
  <c r="H224" i="48"/>
  <c r="I224" i="48" s="1"/>
  <c r="J224" i="48" s="1"/>
  <c r="K224" i="48" s="1"/>
  <c r="L224" i="48" s="1"/>
  <c r="M224" i="48" s="1"/>
  <c r="K223" i="48"/>
  <c r="H223" i="48"/>
  <c r="I223" i="48" s="1"/>
  <c r="J223" i="48" s="1"/>
  <c r="J230" i="48" s="1"/>
  <c r="J257" i="48" s="1"/>
  <c r="G217" i="48"/>
  <c r="H215" i="48"/>
  <c r="I215" i="48" s="1"/>
  <c r="J215" i="48" s="1"/>
  <c r="K215" i="48" s="1"/>
  <c r="L215" i="48" s="1"/>
  <c r="M215" i="48" s="1"/>
  <c r="M214" i="48"/>
  <c r="H214" i="48"/>
  <c r="I214" i="48" s="1"/>
  <c r="J214" i="48" s="1"/>
  <c r="K214" i="48" s="1"/>
  <c r="L214" i="48" s="1"/>
  <c r="K213" i="48"/>
  <c r="L213" i="48" s="1"/>
  <c r="M213" i="48" s="1"/>
  <c r="J213" i="48"/>
  <c r="H213" i="48"/>
  <c r="I213" i="48" s="1"/>
  <c r="I212" i="48"/>
  <c r="J212" i="48" s="1"/>
  <c r="K212" i="48" s="1"/>
  <c r="L212" i="48" s="1"/>
  <c r="M212" i="48" s="1"/>
  <c r="H212" i="48"/>
  <c r="H211" i="48"/>
  <c r="I211" i="48" s="1"/>
  <c r="J211" i="48" s="1"/>
  <c r="K211" i="48" s="1"/>
  <c r="L211" i="48" s="1"/>
  <c r="M211" i="48" s="1"/>
  <c r="H210" i="48"/>
  <c r="I210" i="48" s="1"/>
  <c r="J210" i="48" s="1"/>
  <c r="K210" i="48" s="1"/>
  <c r="L210" i="48" s="1"/>
  <c r="M210" i="48" s="1"/>
  <c r="K209" i="48"/>
  <c r="L209" i="48" s="1"/>
  <c r="M209" i="48" s="1"/>
  <c r="H209" i="48"/>
  <c r="I209" i="48" s="1"/>
  <c r="J209" i="48" s="1"/>
  <c r="H208" i="48"/>
  <c r="I208" i="48" s="1"/>
  <c r="J208" i="48" s="1"/>
  <c r="K208" i="48" s="1"/>
  <c r="L208" i="48" s="1"/>
  <c r="M208" i="48" s="1"/>
  <c r="H207" i="48"/>
  <c r="I207" i="48" s="1"/>
  <c r="J207" i="48" s="1"/>
  <c r="K207" i="48" s="1"/>
  <c r="L207" i="48" s="1"/>
  <c r="M207" i="48" s="1"/>
  <c r="H206" i="48"/>
  <c r="G200" i="48"/>
  <c r="H198" i="48"/>
  <c r="I198" i="48" s="1"/>
  <c r="J198" i="48" s="1"/>
  <c r="K198" i="48" s="1"/>
  <c r="L198" i="48" s="1"/>
  <c r="M198" i="48" s="1"/>
  <c r="I197" i="48"/>
  <c r="J197" i="48" s="1"/>
  <c r="K197" i="48" s="1"/>
  <c r="L197" i="48" s="1"/>
  <c r="M197" i="48" s="1"/>
  <c r="H197" i="48"/>
  <c r="H196" i="48"/>
  <c r="I196" i="48" s="1"/>
  <c r="J196" i="48" s="1"/>
  <c r="K196" i="48" s="1"/>
  <c r="L196" i="48" s="1"/>
  <c r="M196" i="48" s="1"/>
  <c r="I195" i="48"/>
  <c r="H195" i="48"/>
  <c r="G187" i="48"/>
  <c r="I186" i="48"/>
  <c r="J186" i="48" s="1"/>
  <c r="K186" i="48" s="1"/>
  <c r="L186" i="48" s="1"/>
  <c r="M186" i="48" s="1"/>
  <c r="H186" i="48"/>
  <c r="H185" i="48"/>
  <c r="I185" i="48" s="1"/>
  <c r="J185" i="48" s="1"/>
  <c r="K185" i="48" s="1"/>
  <c r="L185" i="48" s="1"/>
  <c r="M185" i="48" s="1"/>
  <c r="I184" i="48"/>
  <c r="J184" i="48" s="1"/>
  <c r="K184" i="48" s="1"/>
  <c r="L184" i="48" s="1"/>
  <c r="M184" i="48" s="1"/>
  <c r="H184" i="48"/>
  <c r="H183" i="48"/>
  <c r="I183" i="48" s="1"/>
  <c r="J183" i="48" s="1"/>
  <c r="K183" i="48" s="1"/>
  <c r="L183" i="48" s="1"/>
  <c r="M183" i="48" s="1"/>
  <c r="I182" i="48"/>
  <c r="H182" i="48"/>
  <c r="H187" i="48" s="1"/>
  <c r="G180" i="48"/>
  <c r="H179" i="48"/>
  <c r="I179" i="48" s="1"/>
  <c r="J179" i="48" s="1"/>
  <c r="K179" i="48" s="1"/>
  <c r="L179" i="48" s="1"/>
  <c r="M179" i="48" s="1"/>
  <c r="I178" i="48"/>
  <c r="J178" i="48" s="1"/>
  <c r="K178" i="48" s="1"/>
  <c r="L178" i="48" s="1"/>
  <c r="M178" i="48" s="1"/>
  <c r="H178" i="48"/>
  <c r="H177" i="48"/>
  <c r="G164" i="48"/>
  <c r="H162" i="48"/>
  <c r="I162" i="48" s="1"/>
  <c r="J162" i="48" s="1"/>
  <c r="K162" i="48" s="1"/>
  <c r="L162" i="48" s="1"/>
  <c r="M162" i="48" s="1"/>
  <c r="I161" i="48"/>
  <c r="J161" i="48" s="1"/>
  <c r="K161" i="48" s="1"/>
  <c r="L161" i="48" s="1"/>
  <c r="M161" i="48" s="1"/>
  <c r="H161" i="48"/>
  <c r="H160" i="48"/>
  <c r="I160" i="48" s="1"/>
  <c r="J160" i="48" s="1"/>
  <c r="K160" i="48" s="1"/>
  <c r="L160" i="48" s="1"/>
  <c r="M160" i="48" s="1"/>
  <c r="J159" i="48"/>
  <c r="K159" i="48" s="1"/>
  <c r="L159" i="48" s="1"/>
  <c r="M159" i="48" s="1"/>
  <c r="I159" i="48"/>
  <c r="H159" i="48"/>
  <c r="H158" i="48"/>
  <c r="G152" i="48"/>
  <c r="H150" i="48"/>
  <c r="I150" i="48" s="1"/>
  <c r="J150" i="48" s="1"/>
  <c r="K150" i="48" s="1"/>
  <c r="L150" i="48" s="1"/>
  <c r="M150" i="48" s="1"/>
  <c r="H149" i="48"/>
  <c r="I149" i="48" s="1"/>
  <c r="J149" i="48" s="1"/>
  <c r="K149" i="48" s="1"/>
  <c r="L149" i="48" s="1"/>
  <c r="M149" i="48" s="1"/>
  <c r="H148" i="48"/>
  <c r="I147" i="48"/>
  <c r="J147" i="48" s="1"/>
  <c r="K147" i="48" s="1"/>
  <c r="L147" i="48" s="1"/>
  <c r="M147" i="48" s="1"/>
  <c r="H147" i="48"/>
  <c r="I146" i="48"/>
  <c r="J146" i="48" s="1"/>
  <c r="K146" i="48" s="1"/>
  <c r="H146" i="48"/>
  <c r="G136" i="48"/>
  <c r="H135" i="48"/>
  <c r="I135" i="48" s="1"/>
  <c r="J135" i="48" s="1"/>
  <c r="K135" i="48" s="1"/>
  <c r="L135" i="48" s="1"/>
  <c r="M135" i="48" s="1"/>
  <c r="L134" i="48"/>
  <c r="M134" i="48" s="1"/>
  <c r="H134" i="48"/>
  <c r="I134" i="48" s="1"/>
  <c r="J134" i="48" s="1"/>
  <c r="K134" i="48" s="1"/>
  <c r="H133" i="48"/>
  <c r="I133" i="48" s="1"/>
  <c r="J133" i="48" s="1"/>
  <c r="K133" i="48" s="1"/>
  <c r="L133" i="48" s="1"/>
  <c r="M133" i="48" s="1"/>
  <c r="H132" i="48"/>
  <c r="I132" i="48" s="1"/>
  <c r="J132" i="48" s="1"/>
  <c r="K132" i="48" s="1"/>
  <c r="L132" i="48" s="1"/>
  <c r="M132" i="48" s="1"/>
  <c r="H131" i="48"/>
  <c r="I131" i="48" s="1"/>
  <c r="G129" i="48"/>
  <c r="G138" i="48" s="1"/>
  <c r="H128" i="48"/>
  <c r="I128" i="48" s="1"/>
  <c r="J128" i="48" s="1"/>
  <c r="K128" i="48" s="1"/>
  <c r="L128" i="48" s="1"/>
  <c r="M128" i="48" s="1"/>
  <c r="H127" i="48"/>
  <c r="H126" i="48"/>
  <c r="I126" i="48" s="1"/>
  <c r="J126" i="48" s="1"/>
  <c r="K126" i="48" s="1"/>
  <c r="L126" i="48" s="1"/>
  <c r="M126" i="48" s="1"/>
  <c r="K125" i="48"/>
  <c r="L125" i="48" s="1"/>
  <c r="M125" i="48" s="1"/>
  <c r="I125" i="48"/>
  <c r="J125" i="48" s="1"/>
  <c r="H125" i="48"/>
  <c r="J124" i="48"/>
  <c r="K124" i="48" s="1"/>
  <c r="I124" i="48"/>
  <c r="H124" i="48"/>
  <c r="J120" i="48"/>
  <c r="K120" i="48" s="1"/>
  <c r="L120" i="48" s="1"/>
  <c r="M120" i="48" s="1"/>
  <c r="I120" i="48"/>
  <c r="H120" i="48"/>
  <c r="H119" i="48"/>
  <c r="I119" i="48" s="1"/>
  <c r="J119" i="48" s="1"/>
  <c r="K119" i="48" s="1"/>
  <c r="L119" i="48" s="1"/>
  <c r="M119" i="48" s="1"/>
  <c r="H118" i="48"/>
  <c r="I118" i="48" s="1"/>
  <c r="J118" i="48" s="1"/>
  <c r="K118" i="48" s="1"/>
  <c r="L118" i="48" s="1"/>
  <c r="M118" i="48" s="1"/>
  <c r="H117" i="48"/>
  <c r="I117" i="48" s="1"/>
  <c r="J117" i="48" s="1"/>
  <c r="K117" i="48" s="1"/>
  <c r="L117" i="48" s="1"/>
  <c r="M117" i="48" s="1"/>
  <c r="G113" i="48"/>
  <c r="C85" i="48"/>
  <c r="D72" i="48"/>
  <c r="D77" i="48" s="1"/>
  <c r="D71" i="48"/>
  <c r="D76" i="48" s="1"/>
  <c r="G63" i="48"/>
  <c r="H62" i="48"/>
  <c r="I62" i="48" s="1"/>
  <c r="J62" i="48" s="1"/>
  <c r="K62" i="48" s="1"/>
  <c r="L62" i="48" s="1"/>
  <c r="M62" i="48" s="1"/>
  <c r="G60" i="48"/>
  <c r="H59" i="48"/>
  <c r="I59" i="48" s="1"/>
  <c r="J59" i="48" s="1"/>
  <c r="K59" i="48" s="1"/>
  <c r="L59" i="48" s="1"/>
  <c r="M59" i="48" s="1"/>
  <c r="H58" i="48"/>
  <c r="G57" i="48"/>
  <c r="G100" i="48" s="1"/>
  <c r="H56" i="48"/>
  <c r="I56" i="48" s="1"/>
  <c r="J56" i="48" s="1"/>
  <c r="K56" i="48" s="1"/>
  <c r="L56" i="48" s="1"/>
  <c r="M56" i="48" s="1"/>
  <c r="H55" i="48"/>
  <c r="M51" i="48"/>
  <c r="H51" i="48"/>
  <c r="I51" i="48" s="1"/>
  <c r="J51" i="48" s="1"/>
  <c r="K51" i="48" s="1"/>
  <c r="L51" i="48" s="1"/>
  <c r="G48" i="48"/>
  <c r="G47" i="48"/>
  <c r="G46" i="48"/>
  <c r="G45" i="48"/>
  <c r="G44" i="48"/>
  <c r="I36" i="48"/>
  <c r="H36" i="48"/>
  <c r="H113" i="48" s="1"/>
  <c r="G35" i="48"/>
  <c r="H34" i="48"/>
  <c r="I34" i="48" s="1"/>
  <c r="J34" i="48" s="1"/>
  <c r="K34" i="48" s="1"/>
  <c r="L34" i="48" s="1"/>
  <c r="M34" i="48" s="1"/>
  <c r="G29" i="48"/>
  <c r="H28" i="48"/>
  <c r="H27" i="48"/>
  <c r="I27" i="48" s="1"/>
  <c r="G26" i="48"/>
  <c r="H25" i="48"/>
  <c r="H24" i="48"/>
  <c r="H26" i="48" s="1"/>
  <c r="H95" i="48" s="1"/>
  <c r="H18" i="48"/>
  <c r="I18" i="48" s="1"/>
  <c r="J18" i="48" s="1"/>
  <c r="K18" i="48" s="1"/>
  <c r="L18" i="48" s="1"/>
  <c r="M18" i="48" s="1"/>
  <c r="M8" i="48"/>
  <c r="M86" i="48" s="1"/>
  <c r="M170" i="48" s="1"/>
  <c r="L8" i="48"/>
  <c r="L86" i="48" s="1"/>
  <c r="L170" i="48" s="1"/>
  <c r="K8" i="48"/>
  <c r="K86" i="48" s="1"/>
  <c r="K170" i="48" s="1"/>
  <c r="J8" i="48"/>
  <c r="J86" i="48" s="1"/>
  <c r="J170" i="48" s="1"/>
  <c r="I8" i="48"/>
  <c r="I86" i="48" s="1"/>
  <c r="I170" i="48" s="1"/>
  <c r="H8" i="48"/>
  <c r="H86" i="48" s="1"/>
  <c r="H170" i="48" s="1"/>
  <c r="G8" i="48"/>
  <c r="G86" i="48" s="1"/>
  <c r="G170" i="48" s="1"/>
  <c r="C5" i="48"/>
  <c r="G269" i="49"/>
  <c r="H267" i="49"/>
  <c r="I266" i="49"/>
  <c r="H266" i="49"/>
  <c r="G258" i="49"/>
  <c r="G260" i="49" s="1"/>
  <c r="G273" i="49" s="1"/>
  <c r="G274" i="49" s="1"/>
  <c r="G252" i="49"/>
  <c r="C241" i="49"/>
  <c r="G230" i="49"/>
  <c r="L228" i="49"/>
  <c r="M228" i="49" s="1"/>
  <c r="H228" i="49"/>
  <c r="I228" i="49" s="1"/>
  <c r="J228" i="49" s="1"/>
  <c r="K228" i="49" s="1"/>
  <c r="H227" i="49"/>
  <c r="I227" i="49" s="1"/>
  <c r="J227" i="49" s="1"/>
  <c r="K227" i="49" s="1"/>
  <c r="L227" i="49" s="1"/>
  <c r="M227" i="49" s="1"/>
  <c r="H226" i="49"/>
  <c r="I226" i="49" s="1"/>
  <c r="J226" i="49" s="1"/>
  <c r="K226" i="49" s="1"/>
  <c r="L226" i="49" s="1"/>
  <c r="M226" i="49" s="1"/>
  <c r="H225" i="49"/>
  <c r="I225" i="49" s="1"/>
  <c r="J225" i="49" s="1"/>
  <c r="K225" i="49" s="1"/>
  <c r="L225" i="49" s="1"/>
  <c r="M225" i="49" s="1"/>
  <c r="H224" i="49"/>
  <c r="H223" i="49"/>
  <c r="I223" i="49" s="1"/>
  <c r="J223" i="49" s="1"/>
  <c r="G217" i="49"/>
  <c r="H215" i="49"/>
  <c r="I215" i="49" s="1"/>
  <c r="J215" i="49" s="1"/>
  <c r="K215" i="49" s="1"/>
  <c r="L215" i="49" s="1"/>
  <c r="M215" i="49" s="1"/>
  <c r="H214" i="49"/>
  <c r="I214" i="49" s="1"/>
  <c r="J214" i="49" s="1"/>
  <c r="K214" i="49" s="1"/>
  <c r="L214" i="49" s="1"/>
  <c r="M214" i="49" s="1"/>
  <c r="K213" i="49"/>
  <c r="L213" i="49" s="1"/>
  <c r="M213" i="49" s="1"/>
  <c r="H213" i="49"/>
  <c r="I213" i="49" s="1"/>
  <c r="J213" i="49" s="1"/>
  <c r="H212" i="49"/>
  <c r="I212" i="49" s="1"/>
  <c r="J212" i="49" s="1"/>
  <c r="K212" i="49" s="1"/>
  <c r="L212" i="49" s="1"/>
  <c r="M212" i="49" s="1"/>
  <c r="K211" i="49"/>
  <c r="L211" i="49" s="1"/>
  <c r="M211" i="49" s="1"/>
  <c r="H211" i="49"/>
  <c r="I211" i="49" s="1"/>
  <c r="J211" i="49" s="1"/>
  <c r="H210" i="49"/>
  <c r="I210" i="49" s="1"/>
  <c r="J210" i="49" s="1"/>
  <c r="K210" i="49" s="1"/>
  <c r="L210" i="49" s="1"/>
  <c r="M210" i="49" s="1"/>
  <c r="H209" i="49"/>
  <c r="I209" i="49" s="1"/>
  <c r="J209" i="49" s="1"/>
  <c r="K209" i="49" s="1"/>
  <c r="L209" i="49" s="1"/>
  <c r="M209" i="49" s="1"/>
  <c r="H208" i="49"/>
  <c r="I208" i="49" s="1"/>
  <c r="J208" i="49" s="1"/>
  <c r="K208" i="49" s="1"/>
  <c r="L208" i="49" s="1"/>
  <c r="M208" i="49" s="1"/>
  <c r="K207" i="49"/>
  <c r="L207" i="49" s="1"/>
  <c r="M207" i="49" s="1"/>
  <c r="H207" i="49"/>
  <c r="I207" i="49" s="1"/>
  <c r="J207" i="49" s="1"/>
  <c r="H206" i="49"/>
  <c r="G200" i="49"/>
  <c r="G234" i="49" s="1"/>
  <c r="H198" i="49"/>
  <c r="I198" i="49" s="1"/>
  <c r="J198" i="49" s="1"/>
  <c r="K198" i="49" s="1"/>
  <c r="L198" i="49" s="1"/>
  <c r="M198" i="49" s="1"/>
  <c r="L197" i="49"/>
  <c r="M197" i="49" s="1"/>
  <c r="H197" i="49"/>
  <c r="I197" i="49" s="1"/>
  <c r="J197" i="49" s="1"/>
  <c r="K197" i="49" s="1"/>
  <c r="I196" i="49"/>
  <c r="J196" i="49" s="1"/>
  <c r="K196" i="49" s="1"/>
  <c r="L196" i="49" s="1"/>
  <c r="M196" i="49" s="1"/>
  <c r="H196" i="49"/>
  <c r="H195" i="49"/>
  <c r="G187" i="49"/>
  <c r="J186" i="49"/>
  <c r="K186" i="49" s="1"/>
  <c r="L186" i="49" s="1"/>
  <c r="M186" i="49" s="1"/>
  <c r="I186" i="49"/>
  <c r="H186" i="49"/>
  <c r="H185" i="49"/>
  <c r="I185" i="49" s="1"/>
  <c r="J185" i="49" s="1"/>
  <c r="K185" i="49" s="1"/>
  <c r="L185" i="49" s="1"/>
  <c r="M185" i="49" s="1"/>
  <c r="H184" i="49"/>
  <c r="I184" i="49" s="1"/>
  <c r="J184" i="49" s="1"/>
  <c r="K184" i="49" s="1"/>
  <c r="L184" i="49" s="1"/>
  <c r="M184" i="49" s="1"/>
  <c r="L183" i="49"/>
  <c r="M183" i="49" s="1"/>
  <c r="H183" i="49"/>
  <c r="I183" i="49" s="1"/>
  <c r="J183" i="49" s="1"/>
  <c r="K183" i="49" s="1"/>
  <c r="H182" i="49"/>
  <c r="I182" i="49" s="1"/>
  <c r="G180" i="49"/>
  <c r="H179" i="49"/>
  <c r="I179" i="49" s="1"/>
  <c r="J179" i="49" s="1"/>
  <c r="K179" i="49" s="1"/>
  <c r="L179" i="49" s="1"/>
  <c r="M179" i="49" s="1"/>
  <c r="H178" i="49"/>
  <c r="J177" i="49"/>
  <c r="H177" i="49"/>
  <c r="I177" i="49" s="1"/>
  <c r="G164" i="49"/>
  <c r="K162" i="49"/>
  <c r="L162" i="49" s="1"/>
  <c r="M162" i="49" s="1"/>
  <c r="H162" i="49"/>
  <c r="I162" i="49" s="1"/>
  <c r="J162" i="49" s="1"/>
  <c r="I161" i="49"/>
  <c r="J161" i="49" s="1"/>
  <c r="K161" i="49" s="1"/>
  <c r="L161" i="49" s="1"/>
  <c r="M161" i="49" s="1"/>
  <c r="H161" i="49"/>
  <c r="H160" i="49"/>
  <c r="I160" i="49" s="1"/>
  <c r="J160" i="49" s="1"/>
  <c r="K160" i="49" s="1"/>
  <c r="L160" i="49" s="1"/>
  <c r="M160" i="49" s="1"/>
  <c r="H159" i="49"/>
  <c r="I159" i="49" s="1"/>
  <c r="J159" i="49" s="1"/>
  <c r="K159" i="49" s="1"/>
  <c r="L159" i="49" s="1"/>
  <c r="M159" i="49" s="1"/>
  <c r="H158" i="49"/>
  <c r="G152" i="49"/>
  <c r="J150" i="49"/>
  <c r="K150" i="49" s="1"/>
  <c r="L150" i="49" s="1"/>
  <c r="M150" i="49" s="1"/>
  <c r="I150" i="49"/>
  <c r="H150" i="49"/>
  <c r="I149" i="49"/>
  <c r="J149" i="49" s="1"/>
  <c r="K149" i="49" s="1"/>
  <c r="L149" i="49" s="1"/>
  <c r="M149" i="49" s="1"/>
  <c r="H149" i="49"/>
  <c r="I148" i="49"/>
  <c r="J148" i="49" s="1"/>
  <c r="K148" i="49" s="1"/>
  <c r="L148" i="49" s="1"/>
  <c r="M148" i="49" s="1"/>
  <c r="H148" i="49"/>
  <c r="H152" i="49" s="1"/>
  <c r="H147" i="49"/>
  <c r="I147" i="49" s="1"/>
  <c r="J147" i="49" s="1"/>
  <c r="K147" i="49" s="1"/>
  <c r="L147" i="49" s="1"/>
  <c r="M147" i="49" s="1"/>
  <c r="H146" i="49"/>
  <c r="I146" i="49" s="1"/>
  <c r="G136" i="49"/>
  <c r="L135" i="49"/>
  <c r="M135" i="49" s="1"/>
  <c r="H135" i="49"/>
  <c r="I135" i="49" s="1"/>
  <c r="J135" i="49" s="1"/>
  <c r="K135" i="49" s="1"/>
  <c r="I134" i="49"/>
  <c r="J134" i="49" s="1"/>
  <c r="K134" i="49" s="1"/>
  <c r="L134" i="49" s="1"/>
  <c r="M134" i="49" s="1"/>
  <c r="H134" i="49"/>
  <c r="H133" i="49"/>
  <c r="I133" i="49" s="1"/>
  <c r="J133" i="49" s="1"/>
  <c r="K133" i="49" s="1"/>
  <c r="L133" i="49" s="1"/>
  <c r="M133" i="49" s="1"/>
  <c r="I132" i="49"/>
  <c r="J132" i="49" s="1"/>
  <c r="K132" i="49" s="1"/>
  <c r="L132" i="49" s="1"/>
  <c r="M132" i="49" s="1"/>
  <c r="H132" i="49"/>
  <c r="H131" i="49"/>
  <c r="G129" i="49"/>
  <c r="M128" i="49"/>
  <c r="I128" i="49"/>
  <c r="J128" i="49" s="1"/>
  <c r="K128" i="49" s="1"/>
  <c r="L128" i="49" s="1"/>
  <c r="H128" i="49"/>
  <c r="J127" i="49"/>
  <c r="K127" i="49" s="1"/>
  <c r="L127" i="49" s="1"/>
  <c r="M127" i="49" s="1"/>
  <c r="I127" i="49"/>
  <c r="H127" i="49"/>
  <c r="H126" i="49"/>
  <c r="I126" i="49" s="1"/>
  <c r="J126" i="49" s="1"/>
  <c r="K126" i="49" s="1"/>
  <c r="L126" i="49" s="1"/>
  <c r="M126" i="49" s="1"/>
  <c r="H125" i="49"/>
  <c r="I125" i="49" s="1"/>
  <c r="J125" i="49" s="1"/>
  <c r="K125" i="49" s="1"/>
  <c r="L125" i="49" s="1"/>
  <c r="M125" i="49" s="1"/>
  <c r="I124" i="49"/>
  <c r="H124" i="49"/>
  <c r="J120" i="49"/>
  <c r="K120" i="49" s="1"/>
  <c r="L120" i="49" s="1"/>
  <c r="M120" i="49" s="1"/>
  <c r="I120" i="49"/>
  <c r="H120" i="49"/>
  <c r="H119" i="49"/>
  <c r="I119" i="49" s="1"/>
  <c r="J119" i="49" s="1"/>
  <c r="K119" i="49" s="1"/>
  <c r="L119" i="49" s="1"/>
  <c r="M119" i="49" s="1"/>
  <c r="H118" i="49"/>
  <c r="I118" i="49" s="1"/>
  <c r="J118" i="49" s="1"/>
  <c r="K118" i="49" s="1"/>
  <c r="L118" i="49" s="1"/>
  <c r="M118" i="49" s="1"/>
  <c r="M117" i="49"/>
  <c r="I117" i="49"/>
  <c r="J117" i="49" s="1"/>
  <c r="K117" i="49" s="1"/>
  <c r="L117" i="49" s="1"/>
  <c r="H117" i="49"/>
  <c r="G113" i="49"/>
  <c r="C85" i="49"/>
  <c r="D72" i="49"/>
  <c r="D77" i="49" s="1"/>
  <c r="D71" i="49"/>
  <c r="D76" i="49" s="1"/>
  <c r="G63" i="49"/>
  <c r="H62" i="49"/>
  <c r="I62" i="49" s="1"/>
  <c r="J62" i="49" s="1"/>
  <c r="K62" i="49" s="1"/>
  <c r="L62" i="49" s="1"/>
  <c r="M62" i="49" s="1"/>
  <c r="G60" i="49"/>
  <c r="H59" i="49"/>
  <c r="I59" i="49" s="1"/>
  <c r="J59" i="49" s="1"/>
  <c r="K59" i="49" s="1"/>
  <c r="L59" i="49" s="1"/>
  <c r="M59" i="49" s="1"/>
  <c r="H58" i="49"/>
  <c r="G57" i="49"/>
  <c r="G100" i="49" s="1"/>
  <c r="H56" i="49"/>
  <c r="H55" i="49"/>
  <c r="I55" i="49" s="1"/>
  <c r="H51" i="49"/>
  <c r="I51" i="49" s="1"/>
  <c r="J51" i="49" s="1"/>
  <c r="K51" i="49" s="1"/>
  <c r="L51" i="49" s="1"/>
  <c r="M51" i="49" s="1"/>
  <c r="G48" i="49"/>
  <c r="G47" i="49"/>
  <c r="G45" i="49"/>
  <c r="G44" i="49"/>
  <c r="G46" i="49" s="1"/>
  <c r="H36" i="49"/>
  <c r="G35" i="49"/>
  <c r="I34" i="49"/>
  <c r="J34" i="49" s="1"/>
  <c r="K34" i="49" s="1"/>
  <c r="L34" i="49" s="1"/>
  <c r="M34" i="49" s="1"/>
  <c r="H34" i="49"/>
  <c r="G29" i="49"/>
  <c r="K28" i="49"/>
  <c r="L28" i="49" s="1"/>
  <c r="M28" i="49" s="1"/>
  <c r="I28" i="49"/>
  <c r="J28" i="49" s="1"/>
  <c r="H28" i="49"/>
  <c r="H27" i="49"/>
  <c r="G26" i="49"/>
  <c r="G32" i="49" s="1"/>
  <c r="G112" i="49" s="1"/>
  <c r="H25" i="49"/>
  <c r="H24" i="49"/>
  <c r="J18" i="49"/>
  <c r="K18" i="49" s="1"/>
  <c r="L18" i="49" s="1"/>
  <c r="M18" i="49" s="1"/>
  <c r="H18" i="49"/>
  <c r="I18" i="49" s="1"/>
  <c r="M8" i="49"/>
  <c r="M86" i="49" s="1"/>
  <c r="M170" i="49" s="1"/>
  <c r="L8" i="49"/>
  <c r="L86" i="49" s="1"/>
  <c r="L170" i="49" s="1"/>
  <c r="K8" i="49"/>
  <c r="K86" i="49" s="1"/>
  <c r="K170" i="49" s="1"/>
  <c r="J8" i="49"/>
  <c r="J86" i="49" s="1"/>
  <c r="J170" i="49" s="1"/>
  <c r="I8" i="49"/>
  <c r="I86" i="49" s="1"/>
  <c r="I170" i="49" s="1"/>
  <c r="H8" i="49"/>
  <c r="H86" i="49" s="1"/>
  <c r="H170" i="49" s="1"/>
  <c r="G8" i="49"/>
  <c r="G86" i="49" s="1"/>
  <c r="G170" i="49" s="1"/>
  <c r="C5" i="49"/>
  <c r="G269" i="50"/>
  <c r="H267" i="50"/>
  <c r="I267" i="50" s="1"/>
  <c r="J267" i="50" s="1"/>
  <c r="K267" i="50" s="1"/>
  <c r="L267" i="50" s="1"/>
  <c r="M267" i="50" s="1"/>
  <c r="H266" i="50"/>
  <c r="I266" i="50" s="1"/>
  <c r="G260" i="50"/>
  <c r="G273" i="50" s="1"/>
  <c r="G274" i="50" s="1"/>
  <c r="G258" i="50"/>
  <c r="G252" i="50"/>
  <c r="C241" i="50"/>
  <c r="G230" i="50"/>
  <c r="H228" i="50"/>
  <c r="I228" i="50" s="1"/>
  <c r="J228" i="50" s="1"/>
  <c r="K228" i="50" s="1"/>
  <c r="L228" i="50" s="1"/>
  <c r="M228" i="50" s="1"/>
  <c r="J227" i="50"/>
  <c r="K227" i="50" s="1"/>
  <c r="L227" i="50" s="1"/>
  <c r="M227" i="50" s="1"/>
  <c r="H227" i="50"/>
  <c r="I227" i="50" s="1"/>
  <c r="H226" i="50"/>
  <c r="I226" i="50" s="1"/>
  <c r="J226" i="50" s="1"/>
  <c r="K226" i="50" s="1"/>
  <c r="L226" i="50" s="1"/>
  <c r="M226" i="50" s="1"/>
  <c r="J225" i="50"/>
  <c r="K225" i="50" s="1"/>
  <c r="L225" i="50" s="1"/>
  <c r="M225" i="50" s="1"/>
  <c r="H225" i="50"/>
  <c r="I225" i="50" s="1"/>
  <c r="H224" i="50"/>
  <c r="I224" i="50" s="1"/>
  <c r="J224" i="50" s="1"/>
  <c r="K224" i="50" s="1"/>
  <c r="L224" i="50" s="1"/>
  <c r="M224" i="50" s="1"/>
  <c r="H223" i="50"/>
  <c r="G217" i="50"/>
  <c r="H215" i="50"/>
  <c r="I215" i="50" s="1"/>
  <c r="J215" i="50" s="1"/>
  <c r="K215" i="50" s="1"/>
  <c r="L215" i="50" s="1"/>
  <c r="M215" i="50" s="1"/>
  <c r="I214" i="50"/>
  <c r="J214" i="50" s="1"/>
  <c r="K214" i="50" s="1"/>
  <c r="L214" i="50" s="1"/>
  <c r="M214" i="50" s="1"/>
  <c r="H214" i="50"/>
  <c r="H213" i="50"/>
  <c r="I213" i="50" s="1"/>
  <c r="J213" i="50" s="1"/>
  <c r="K213" i="50" s="1"/>
  <c r="L213" i="50" s="1"/>
  <c r="M213" i="50" s="1"/>
  <c r="M212" i="50"/>
  <c r="I212" i="50"/>
  <c r="J212" i="50" s="1"/>
  <c r="K212" i="50" s="1"/>
  <c r="L212" i="50" s="1"/>
  <c r="H212" i="50"/>
  <c r="H211" i="50"/>
  <c r="I211" i="50" s="1"/>
  <c r="J211" i="50" s="1"/>
  <c r="K211" i="50" s="1"/>
  <c r="L211" i="50" s="1"/>
  <c r="M211" i="50" s="1"/>
  <c r="I210" i="50"/>
  <c r="J210" i="50" s="1"/>
  <c r="K210" i="50" s="1"/>
  <c r="L210" i="50" s="1"/>
  <c r="M210" i="50" s="1"/>
  <c r="H210" i="50"/>
  <c r="H209" i="50"/>
  <c r="I209" i="50" s="1"/>
  <c r="J209" i="50" s="1"/>
  <c r="K209" i="50" s="1"/>
  <c r="L209" i="50" s="1"/>
  <c r="M209" i="50" s="1"/>
  <c r="M208" i="50"/>
  <c r="I208" i="50"/>
  <c r="J208" i="50" s="1"/>
  <c r="K208" i="50" s="1"/>
  <c r="L208" i="50" s="1"/>
  <c r="H208" i="50"/>
  <c r="H207" i="50"/>
  <c r="I207" i="50" s="1"/>
  <c r="J207" i="50" s="1"/>
  <c r="K207" i="50" s="1"/>
  <c r="L207" i="50" s="1"/>
  <c r="M207" i="50" s="1"/>
  <c r="I206" i="50"/>
  <c r="H206" i="50"/>
  <c r="H217" i="50" s="1"/>
  <c r="H256" i="50" s="1"/>
  <c r="G200" i="50"/>
  <c r="G234" i="50" s="1"/>
  <c r="H198" i="50"/>
  <c r="I198" i="50" s="1"/>
  <c r="J198" i="50" s="1"/>
  <c r="K198" i="50" s="1"/>
  <c r="L198" i="50" s="1"/>
  <c r="M198" i="50" s="1"/>
  <c r="L197" i="50"/>
  <c r="M197" i="50" s="1"/>
  <c r="H197" i="50"/>
  <c r="I197" i="50" s="1"/>
  <c r="J197" i="50" s="1"/>
  <c r="K197" i="50" s="1"/>
  <c r="H196" i="50"/>
  <c r="I196" i="50" s="1"/>
  <c r="J196" i="50" s="1"/>
  <c r="K196" i="50" s="1"/>
  <c r="L196" i="50" s="1"/>
  <c r="M196" i="50" s="1"/>
  <c r="H195" i="50"/>
  <c r="G187" i="50"/>
  <c r="H186" i="50"/>
  <c r="I186" i="50" s="1"/>
  <c r="J186" i="50" s="1"/>
  <c r="K186" i="50" s="1"/>
  <c r="L186" i="50" s="1"/>
  <c r="M186" i="50" s="1"/>
  <c r="H185" i="50"/>
  <c r="I185" i="50" s="1"/>
  <c r="J185" i="50" s="1"/>
  <c r="K185" i="50" s="1"/>
  <c r="L185" i="50" s="1"/>
  <c r="M185" i="50" s="1"/>
  <c r="H184" i="50"/>
  <c r="I184" i="50" s="1"/>
  <c r="J184" i="50" s="1"/>
  <c r="K184" i="50" s="1"/>
  <c r="L184" i="50" s="1"/>
  <c r="M184" i="50" s="1"/>
  <c r="H183" i="50"/>
  <c r="I183" i="50" s="1"/>
  <c r="J183" i="50" s="1"/>
  <c r="K183" i="50" s="1"/>
  <c r="L183" i="50" s="1"/>
  <c r="M183" i="50" s="1"/>
  <c r="H182" i="50"/>
  <c r="I182" i="50" s="1"/>
  <c r="H180" i="50"/>
  <c r="G180" i="50"/>
  <c r="H179" i="50"/>
  <c r="I179" i="50" s="1"/>
  <c r="J179" i="50" s="1"/>
  <c r="K179" i="50" s="1"/>
  <c r="L179" i="50" s="1"/>
  <c r="M179" i="50" s="1"/>
  <c r="M178" i="50"/>
  <c r="I178" i="50"/>
  <c r="J178" i="50" s="1"/>
  <c r="K178" i="50" s="1"/>
  <c r="L178" i="50" s="1"/>
  <c r="H178" i="50"/>
  <c r="H177" i="50"/>
  <c r="I177" i="50" s="1"/>
  <c r="G164" i="50"/>
  <c r="H162" i="50"/>
  <c r="I162" i="50" s="1"/>
  <c r="J162" i="50" s="1"/>
  <c r="K162" i="50" s="1"/>
  <c r="L162" i="50" s="1"/>
  <c r="M162" i="50" s="1"/>
  <c r="H161" i="50"/>
  <c r="I161" i="50" s="1"/>
  <c r="J161" i="50" s="1"/>
  <c r="K161" i="50" s="1"/>
  <c r="L161" i="50" s="1"/>
  <c r="M161" i="50" s="1"/>
  <c r="H160" i="50"/>
  <c r="I160" i="50" s="1"/>
  <c r="J160" i="50" s="1"/>
  <c r="K160" i="50" s="1"/>
  <c r="L160" i="50" s="1"/>
  <c r="M160" i="50" s="1"/>
  <c r="J159" i="50"/>
  <c r="K159" i="50" s="1"/>
  <c r="L159" i="50" s="1"/>
  <c r="M159" i="50" s="1"/>
  <c r="H159" i="50"/>
  <c r="I159" i="50" s="1"/>
  <c r="H158" i="50"/>
  <c r="I158" i="50" s="1"/>
  <c r="G152" i="50"/>
  <c r="L150" i="50"/>
  <c r="M150" i="50" s="1"/>
  <c r="H150" i="50"/>
  <c r="I150" i="50" s="1"/>
  <c r="J150" i="50" s="1"/>
  <c r="K150" i="50" s="1"/>
  <c r="H149" i="50"/>
  <c r="I149" i="50" s="1"/>
  <c r="J149" i="50" s="1"/>
  <c r="K149" i="50" s="1"/>
  <c r="L149" i="50" s="1"/>
  <c r="M149" i="50" s="1"/>
  <c r="L148" i="50"/>
  <c r="M148" i="50" s="1"/>
  <c r="H148" i="50"/>
  <c r="I148" i="50" s="1"/>
  <c r="J148" i="50" s="1"/>
  <c r="K148" i="50" s="1"/>
  <c r="H147" i="50"/>
  <c r="I147" i="50" s="1"/>
  <c r="J147" i="50" s="1"/>
  <c r="K147" i="50" s="1"/>
  <c r="L147" i="50" s="1"/>
  <c r="M147" i="50" s="1"/>
  <c r="H146" i="50"/>
  <c r="G136" i="50"/>
  <c r="M135" i="50"/>
  <c r="H135" i="50"/>
  <c r="I135" i="50" s="1"/>
  <c r="J135" i="50" s="1"/>
  <c r="K135" i="50" s="1"/>
  <c r="L135" i="50" s="1"/>
  <c r="H134" i="50"/>
  <c r="I134" i="50" s="1"/>
  <c r="J134" i="50" s="1"/>
  <c r="K134" i="50" s="1"/>
  <c r="L134" i="50" s="1"/>
  <c r="M134" i="50" s="1"/>
  <c r="H133" i="50"/>
  <c r="I133" i="50" s="1"/>
  <c r="J133" i="50" s="1"/>
  <c r="K133" i="50" s="1"/>
  <c r="L133" i="50" s="1"/>
  <c r="M133" i="50" s="1"/>
  <c r="I132" i="50"/>
  <c r="J132" i="50" s="1"/>
  <c r="K132" i="50" s="1"/>
  <c r="L132" i="50" s="1"/>
  <c r="M132" i="50" s="1"/>
  <c r="H132" i="50"/>
  <c r="H131" i="50"/>
  <c r="H136" i="50" s="1"/>
  <c r="G129" i="50"/>
  <c r="G138" i="50" s="1"/>
  <c r="H128" i="50"/>
  <c r="I128" i="50" s="1"/>
  <c r="J128" i="50" s="1"/>
  <c r="K128" i="50" s="1"/>
  <c r="L128" i="50" s="1"/>
  <c r="M128" i="50" s="1"/>
  <c r="H127" i="50"/>
  <c r="I127" i="50" s="1"/>
  <c r="J127" i="50" s="1"/>
  <c r="K127" i="50" s="1"/>
  <c r="L127" i="50" s="1"/>
  <c r="M127" i="50" s="1"/>
  <c r="H126" i="50"/>
  <c r="I126" i="50" s="1"/>
  <c r="J126" i="50" s="1"/>
  <c r="K126" i="50" s="1"/>
  <c r="L126" i="50" s="1"/>
  <c r="M126" i="50" s="1"/>
  <c r="H125" i="50"/>
  <c r="I125" i="50" s="1"/>
  <c r="J125" i="50" s="1"/>
  <c r="K125" i="50" s="1"/>
  <c r="L125" i="50" s="1"/>
  <c r="M125" i="50" s="1"/>
  <c r="H124" i="50"/>
  <c r="I124" i="50" s="1"/>
  <c r="H120" i="50"/>
  <c r="I120" i="50" s="1"/>
  <c r="J120" i="50" s="1"/>
  <c r="K120" i="50" s="1"/>
  <c r="L120" i="50" s="1"/>
  <c r="M120" i="50" s="1"/>
  <c r="H119" i="50"/>
  <c r="I119" i="50" s="1"/>
  <c r="J119" i="50" s="1"/>
  <c r="K119" i="50" s="1"/>
  <c r="L119" i="50" s="1"/>
  <c r="M119" i="50" s="1"/>
  <c r="H118" i="50"/>
  <c r="I118" i="50" s="1"/>
  <c r="J118" i="50" s="1"/>
  <c r="K118" i="50" s="1"/>
  <c r="L118" i="50" s="1"/>
  <c r="M118" i="50" s="1"/>
  <c r="H117" i="50"/>
  <c r="I117" i="50" s="1"/>
  <c r="J117" i="50" s="1"/>
  <c r="K117" i="50" s="1"/>
  <c r="L117" i="50" s="1"/>
  <c r="M117" i="50" s="1"/>
  <c r="G113" i="50"/>
  <c r="C85" i="50"/>
  <c r="D72" i="50"/>
  <c r="D77" i="50" s="1"/>
  <c r="D71" i="50"/>
  <c r="D76" i="50" s="1"/>
  <c r="G63" i="50"/>
  <c r="H62" i="50"/>
  <c r="I62" i="50" s="1"/>
  <c r="J62" i="50" s="1"/>
  <c r="K62" i="50" s="1"/>
  <c r="L62" i="50" s="1"/>
  <c r="M62" i="50" s="1"/>
  <c r="G60" i="50"/>
  <c r="G64" i="50" s="1"/>
  <c r="G61" i="50" s="1"/>
  <c r="H59" i="50"/>
  <c r="I59" i="50" s="1"/>
  <c r="H58" i="50"/>
  <c r="G57" i="50"/>
  <c r="G45" i="50" s="1"/>
  <c r="J56" i="50"/>
  <c r="K56" i="50" s="1"/>
  <c r="L56" i="50" s="1"/>
  <c r="M56" i="50" s="1"/>
  <c r="I56" i="50"/>
  <c r="H56" i="50"/>
  <c r="H55" i="50"/>
  <c r="I51" i="50"/>
  <c r="J51" i="50" s="1"/>
  <c r="K51" i="50" s="1"/>
  <c r="L51" i="50" s="1"/>
  <c r="M51" i="50" s="1"/>
  <c r="H51" i="50"/>
  <c r="G47" i="50"/>
  <c r="G44" i="50"/>
  <c r="H36" i="50"/>
  <c r="H113" i="50" s="1"/>
  <c r="G35" i="50"/>
  <c r="I34" i="50"/>
  <c r="J34" i="50" s="1"/>
  <c r="K34" i="50" s="1"/>
  <c r="L34" i="50" s="1"/>
  <c r="M34" i="50" s="1"/>
  <c r="H34" i="50"/>
  <c r="G29" i="50"/>
  <c r="H28" i="50"/>
  <c r="I28" i="50" s="1"/>
  <c r="J28" i="50" s="1"/>
  <c r="K28" i="50" s="1"/>
  <c r="L28" i="50" s="1"/>
  <c r="M28" i="50" s="1"/>
  <c r="I27" i="50"/>
  <c r="H27" i="50"/>
  <c r="G26" i="50"/>
  <c r="G97" i="50" s="1"/>
  <c r="J25" i="50"/>
  <c r="I25" i="50"/>
  <c r="H25" i="50"/>
  <c r="H24" i="50"/>
  <c r="J18" i="50"/>
  <c r="K18" i="50" s="1"/>
  <c r="L18" i="50" s="1"/>
  <c r="M18" i="50" s="1"/>
  <c r="I18" i="50"/>
  <c r="H18" i="50"/>
  <c r="M8" i="50"/>
  <c r="M86" i="50" s="1"/>
  <c r="M170" i="50" s="1"/>
  <c r="L8" i="50"/>
  <c r="L86" i="50" s="1"/>
  <c r="L170" i="50" s="1"/>
  <c r="K8" i="50"/>
  <c r="K86" i="50" s="1"/>
  <c r="K170" i="50" s="1"/>
  <c r="J8" i="50"/>
  <c r="J86" i="50" s="1"/>
  <c r="J170" i="50" s="1"/>
  <c r="I8" i="50"/>
  <c r="I86" i="50" s="1"/>
  <c r="I170" i="50" s="1"/>
  <c r="H8" i="50"/>
  <c r="H86" i="50" s="1"/>
  <c r="H170" i="50" s="1"/>
  <c r="G8" i="50"/>
  <c r="G86" i="50" s="1"/>
  <c r="G170" i="50" s="1"/>
  <c r="C5" i="50"/>
  <c r="G269" i="43"/>
  <c r="H267" i="43"/>
  <c r="I267" i="43" s="1"/>
  <c r="J267" i="43" s="1"/>
  <c r="K267" i="43" s="1"/>
  <c r="L267" i="43" s="1"/>
  <c r="M267" i="43" s="1"/>
  <c r="H266" i="43"/>
  <c r="I266" i="43" s="1"/>
  <c r="G260" i="43"/>
  <c r="G273" i="43" s="1"/>
  <c r="G274" i="43" s="1"/>
  <c r="G258" i="43"/>
  <c r="G252" i="43"/>
  <c r="C241" i="43"/>
  <c r="G230" i="43"/>
  <c r="L228" i="43"/>
  <c r="M228" i="43" s="1"/>
  <c r="H228" i="43"/>
  <c r="I228" i="43" s="1"/>
  <c r="J228" i="43" s="1"/>
  <c r="K228" i="43" s="1"/>
  <c r="J227" i="43"/>
  <c r="K227" i="43" s="1"/>
  <c r="L227" i="43" s="1"/>
  <c r="M227" i="43" s="1"/>
  <c r="H227" i="43"/>
  <c r="I227" i="43" s="1"/>
  <c r="L226" i="43"/>
  <c r="M226" i="43" s="1"/>
  <c r="H226" i="43"/>
  <c r="I226" i="43" s="1"/>
  <c r="J226" i="43" s="1"/>
  <c r="K226" i="43" s="1"/>
  <c r="J225" i="43"/>
  <c r="K225" i="43" s="1"/>
  <c r="L225" i="43" s="1"/>
  <c r="M225" i="43" s="1"/>
  <c r="H225" i="43"/>
  <c r="I225" i="43" s="1"/>
  <c r="L224" i="43"/>
  <c r="M224" i="43" s="1"/>
  <c r="H224" i="43"/>
  <c r="I224" i="43" s="1"/>
  <c r="J224" i="43" s="1"/>
  <c r="K224" i="43" s="1"/>
  <c r="H223" i="43"/>
  <c r="G217" i="43"/>
  <c r="H215" i="43"/>
  <c r="I215" i="43" s="1"/>
  <c r="J215" i="43" s="1"/>
  <c r="K215" i="43" s="1"/>
  <c r="L215" i="43" s="1"/>
  <c r="M215" i="43" s="1"/>
  <c r="I214" i="43"/>
  <c r="J214" i="43" s="1"/>
  <c r="K214" i="43" s="1"/>
  <c r="L214" i="43" s="1"/>
  <c r="M214" i="43" s="1"/>
  <c r="H214" i="43"/>
  <c r="K213" i="43"/>
  <c r="L213" i="43" s="1"/>
  <c r="M213" i="43" s="1"/>
  <c r="H213" i="43"/>
  <c r="I213" i="43" s="1"/>
  <c r="J213" i="43" s="1"/>
  <c r="M212" i="43"/>
  <c r="I212" i="43"/>
  <c r="J212" i="43" s="1"/>
  <c r="K212" i="43" s="1"/>
  <c r="L212" i="43" s="1"/>
  <c r="H212" i="43"/>
  <c r="H211" i="43"/>
  <c r="I211" i="43" s="1"/>
  <c r="J211" i="43" s="1"/>
  <c r="K211" i="43" s="1"/>
  <c r="L211" i="43" s="1"/>
  <c r="M211" i="43" s="1"/>
  <c r="I210" i="43"/>
  <c r="J210" i="43" s="1"/>
  <c r="K210" i="43" s="1"/>
  <c r="L210" i="43" s="1"/>
  <c r="M210" i="43" s="1"/>
  <c r="H210" i="43"/>
  <c r="K209" i="43"/>
  <c r="L209" i="43" s="1"/>
  <c r="M209" i="43" s="1"/>
  <c r="H209" i="43"/>
  <c r="I209" i="43" s="1"/>
  <c r="J209" i="43" s="1"/>
  <c r="M208" i="43"/>
  <c r="I208" i="43"/>
  <c r="J208" i="43" s="1"/>
  <c r="K208" i="43" s="1"/>
  <c r="L208" i="43" s="1"/>
  <c r="H208" i="43"/>
  <c r="H207" i="43"/>
  <c r="I207" i="43" s="1"/>
  <c r="J207" i="43" s="1"/>
  <c r="K207" i="43" s="1"/>
  <c r="L207" i="43" s="1"/>
  <c r="M207" i="43" s="1"/>
  <c r="I206" i="43"/>
  <c r="H206" i="43"/>
  <c r="H217" i="43" s="1"/>
  <c r="H256" i="43" s="1"/>
  <c r="G200" i="43"/>
  <c r="H198" i="43"/>
  <c r="I198" i="43" s="1"/>
  <c r="J198" i="43" s="1"/>
  <c r="K198" i="43" s="1"/>
  <c r="L198" i="43" s="1"/>
  <c r="M198" i="43" s="1"/>
  <c r="L197" i="43"/>
  <c r="M197" i="43" s="1"/>
  <c r="H197" i="43"/>
  <c r="I197" i="43" s="1"/>
  <c r="J197" i="43" s="1"/>
  <c r="K197" i="43" s="1"/>
  <c r="H196" i="43"/>
  <c r="I196" i="43" s="1"/>
  <c r="J196" i="43" s="1"/>
  <c r="K196" i="43" s="1"/>
  <c r="L196" i="43" s="1"/>
  <c r="M196" i="43" s="1"/>
  <c r="H195" i="43"/>
  <c r="G187" i="43"/>
  <c r="H186" i="43"/>
  <c r="I186" i="43" s="1"/>
  <c r="J186" i="43" s="1"/>
  <c r="K186" i="43" s="1"/>
  <c r="L186" i="43" s="1"/>
  <c r="M186" i="43" s="1"/>
  <c r="H185" i="43"/>
  <c r="I185" i="43" s="1"/>
  <c r="J185" i="43" s="1"/>
  <c r="K185" i="43" s="1"/>
  <c r="L185" i="43" s="1"/>
  <c r="M185" i="43" s="1"/>
  <c r="H184" i="43"/>
  <c r="I184" i="43" s="1"/>
  <c r="J184" i="43" s="1"/>
  <c r="K184" i="43" s="1"/>
  <c r="L184" i="43" s="1"/>
  <c r="M184" i="43" s="1"/>
  <c r="H183" i="43"/>
  <c r="I183" i="43" s="1"/>
  <c r="J183" i="43" s="1"/>
  <c r="K183" i="43" s="1"/>
  <c r="L183" i="43" s="1"/>
  <c r="M183" i="43" s="1"/>
  <c r="H182" i="43"/>
  <c r="I182" i="43" s="1"/>
  <c r="H180" i="43"/>
  <c r="G180" i="43"/>
  <c r="K179" i="43"/>
  <c r="L179" i="43" s="1"/>
  <c r="M179" i="43" s="1"/>
  <c r="H179" i="43"/>
  <c r="I179" i="43" s="1"/>
  <c r="J179" i="43" s="1"/>
  <c r="M178" i="43"/>
  <c r="I178" i="43"/>
  <c r="J178" i="43" s="1"/>
  <c r="K178" i="43" s="1"/>
  <c r="L178" i="43" s="1"/>
  <c r="H178" i="43"/>
  <c r="H177" i="43"/>
  <c r="I177" i="43" s="1"/>
  <c r="G164" i="43"/>
  <c r="H162" i="43"/>
  <c r="I162" i="43" s="1"/>
  <c r="J162" i="43" s="1"/>
  <c r="K162" i="43" s="1"/>
  <c r="L162" i="43" s="1"/>
  <c r="M162" i="43" s="1"/>
  <c r="H161" i="43"/>
  <c r="I161" i="43" s="1"/>
  <c r="J161" i="43" s="1"/>
  <c r="K161" i="43" s="1"/>
  <c r="L161" i="43" s="1"/>
  <c r="M161" i="43" s="1"/>
  <c r="H160" i="43"/>
  <c r="I160" i="43" s="1"/>
  <c r="J160" i="43" s="1"/>
  <c r="K160" i="43" s="1"/>
  <c r="L160" i="43" s="1"/>
  <c r="M160" i="43" s="1"/>
  <c r="J159" i="43"/>
  <c r="K159" i="43" s="1"/>
  <c r="L159" i="43" s="1"/>
  <c r="M159" i="43" s="1"/>
  <c r="H159" i="43"/>
  <c r="I159" i="43" s="1"/>
  <c r="I158" i="43"/>
  <c r="H158" i="43"/>
  <c r="G152" i="43"/>
  <c r="L150" i="43"/>
  <c r="M150" i="43" s="1"/>
  <c r="H150" i="43"/>
  <c r="I150" i="43" s="1"/>
  <c r="J150" i="43" s="1"/>
  <c r="K150" i="43" s="1"/>
  <c r="H149" i="43"/>
  <c r="I149" i="43" s="1"/>
  <c r="J149" i="43" s="1"/>
  <c r="K149" i="43" s="1"/>
  <c r="L149" i="43" s="1"/>
  <c r="M149" i="43" s="1"/>
  <c r="L148" i="43"/>
  <c r="M148" i="43" s="1"/>
  <c r="H148" i="43"/>
  <c r="I148" i="43" s="1"/>
  <c r="J148" i="43" s="1"/>
  <c r="K148" i="43" s="1"/>
  <c r="H147" i="43"/>
  <c r="I147" i="43" s="1"/>
  <c r="J147" i="43" s="1"/>
  <c r="K147" i="43" s="1"/>
  <c r="L147" i="43" s="1"/>
  <c r="M147" i="43" s="1"/>
  <c r="H146" i="43"/>
  <c r="G136" i="43"/>
  <c r="M135" i="43"/>
  <c r="I135" i="43"/>
  <c r="J135" i="43" s="1"/>
  <c r="K135" i="43" s="1"/>
  <c r="L135" i="43" s="1"/>
  <c r="H135" i="43"/>
  <c r="H134" i="43"/>
  <c r="I134" i="43" s="1"/>
  <c r="J134" i="43" s="1"/>
  <c r="K134" i="43" s="1"/>
  <c r="L134" i="43" s="1"/>
  <c r="M134" i="43" s="1"/>
  <c r="M133" i="43"/>
  <c r="I133" i="43"/>
  <c r="J133" i="43" s="1"/>
  <c r="K133" i="43" s="1"/>
  <c r="L133" i="43" s="1"/>
  <c r="H133" i="43"/>
  <c r="I132" i="43"/>
  <c r="J132" i="43" s="1"/>
  <c r="K132" i="43" s="1"/>
  <c r="L132" i="43" s="1"/>
  <c r="M132" i="43" s="1"/>
  <c r="H132" i="43"/>
  <c r="I131" i="43"/>
  <c r="H131" i="43"/>
  <c r="G129" i="43"/>
  <c r="G138" i="43" s="1"/>
  <c r="H128" i="43"/>
  <c r="I128" i="43" s="1"/>
  <c r="J128" i="43" s="1"/>
  <c r="K128" i="43" s="1"/>
  <c r="L128" i="43" s="1"/>
  <c r="M128" i="43" s="1"/>
  <c r="H127" i="43"/>
  <c r="I127" i="43" s="1"/>
  <c r="J127" i="43" s="1"/>
  <c r="K127" i="43" s="1"/>
  <c r="L127" i="43" s="1"/>
  <c r="M127" i="43" s="1"/>
  <c r="H126" i="43"/>
  <c r="I126" i="43" s="1"/>
  <c r="J126" i="43" s="1"/>
  <c r="K126" i="43" s="1"/>
  <c r="L126" i="43" s="1"/>
  <c r="M126" i="43" s="1"/>
  <c r="H125" i="43"/>
  <c r="I125" i="43" s="1"/>
  <c r="J125" i="43" s="1"/>
  <c r="K125" i="43" s="1"/>
  <c r="L125" i="43" s="1"/>
  <c r="M125" i="43" s="1"/>
  <c r="H124" i="43"/>
  <c r="I124" i="43" s="1"/>
  <c r="H120" i="43"/>
  <c r="I120" i="43" s="1"/>
  <c r="J120" i="43" s="1"/>
  <c r="K120" i="43" s="1"/>
  <c r="L120" i="43" s="1"/>
  <c r="M120" i="43" s="1"/>
  <c r="H119" i="43"/>
  <c r="I119" i="43" s="1"/>
  <c r="J119" i="43" s="1"/>
  <c r="K119" i="43" s="1"/>
  <c r="L119" i="43" s="1"/>
  <c r="M119" i="43" s="1"/>
  <c r="H118" i="43"/>
  <c r="I118" i="43" s="1"/>
  <c r="J118" i="43" s="1"/>
  <c r="K118" i="43" s="1"/>
  <c r="L118" i="43" s="1"/>
  <c r="M118" i="43" s="1"/>
  <c r="H117" i="43"/>
  <c r="I117" i="43" s="1"/>
  <c r="J117" i="43" s="1"/>
  <c r="K117" i="43" s="1"/>
  <c r="L117" i="43" s="1"/>
  <c r="M117" i="43" s="1"/>
  <c r="G113" i="43"/>
  <c r="G105" i="43"/>
  <c r="C85" i="43"/>
  <c r="D72" i="43"/>
  <c r="D77" i="43" s="1"/>
  <c r="D71" i="43"/>
  <c r="D76" i="43" s="1"/>
  <c r="G63" i="43"/>
  <c r="I62" i="43"/>
  <c r="J62" i="43" s="1"/>
  <c r="K62" i="43" s="1"/>
  <c r="L62" i="43" s="1"/>
  <c r="M62" i="43" s="1"/>
  <c r="H62" i="43"/>
  <c r="G60" i="43"/>
  <c r="J59" i="43"/>
  <c r="K59" i="43" s="1"/>
  <c r="L59" i="43" s="1"/>
  <c r="M59" i="43" s="1"/>
  <c r="I59" i="43"/>
  <c r="H59" i="43"/>
  <c r="H58" i="43"/>
  <c r="G57" i="43"/>
  <c r="G64" i="43" s="1"/>
  <c r="G61" i="43" s="1"/>
  <c r="H56" i="43"/>
  <c r="I56" i="43" s="1"/>
  <c r="J56" i="43" s="1"/>
  <c r="K56" i="43" s="1"/>
  <c r="L56" i="43" s="1"/>
  <c r="M56" i="43" s="1"/>
  <c r="H55" i="43"/>
  <c r="H51" i="43"/>
  <c r="I51" i="43" s="1"/>
  <c r="J51" i="43" s="1"/>
  <c r="K51" i="43" s="1"/>
  <c r="L51" i="43" s="1"/>
  <c r="M51" i="43" s="1"/>
  <c r="G44" i="43"/>
  <c r="I36" i="43"/>
  <c r="H36" i="43"/>
  <c r="H113" i="43" s="1"/>
  <c r="G35" i="43"/>
  <c r="H34" i="43"/>
  <c r="I34" i="43" s="1"/>
  <c r="J34" i="43" s="1"/>
  <c r="K34" i="43" s="1"/>
  <c r="L34" i="43" s="1"/>
  <c r="M34" i="43" s="1"/>
  <c r="G29" i="43"/>
  <c r="H28" i="43"/>
  <c r="I28" i="43" s="1"/>
  <c r="J28" i="43" s="1"/>
  <c r="K28" i="43" s="1"/>
  <c r="L28" i="43" s="1"/>
  <c r="M28" i="43" s="1"/>
  <c r="H27" i="43"/>
  <c r="H35" i="43" s="1"/>
  <c r="H26" i="43"/>
  <c r="G26" i="43"/>
  <c r="G102" i="43" s="1"/>
  <c r="H25" i="43"/>
  <c r="I25" i="43" s="1"/>
  <c r="J25" i="43" s="1"/>
  <c r="I24" i="43"/>
  <c r="H24" i="43"/>
  <c r="H18" i="43"/>
  <c r="I18" i="43" s="1"/>
  <c r="J18" i="43" s="1"/>
  <c r="K18" i="43" s="1"/>
  <c r="L18" i="43" s="1"/>
  <c r="M18" i="43" s="1"/>
  <c r="M8" i="43"/>
  <c r="M86" i="43" s="1"/>
  <c r="M170" i="43" s="1"/>
  <c r="L8" i="43"/>
  <c r="L86" i="43" s="1"/>
  <c r="L170" i="43" s="1"/>
  <c r="K8" i="43"/>
  <c r="K86" i="43" s="1"/>
  <c r="K170" i="43" s="1"/>
  <c r="J8" i="43"/>
  <c r="J86" i="43" s="1"/>
  <c r="J170" i="43" s="1"/>
  <c r="I8" i="43"/>
  <c r="I86" i="43" s="1"/>
  <c r="I170" i="43" s="1"/>
  <c r="H8" i="43"/>
  <c r="H86" i="43" s="1"/>
  <c r="H170" i="43" s="1"/>
  <c r="G8" i="43"/>
  <c r="G86" i="43" s="1"/>
  <c r="G170" i="43" s="1"/>
  <c r="C5" i="43"/>
  <c r="G269" i="44"/>
  <c r="L267" i="44"/>
  <c r="M267" i="44" s="1"/>
  <c r="H267" i="44"/>
  <c r="I267" i="44" s="1"/>
  <c r="J267" i="44" s="1"/>
  <c r="K267" i="44" s="1"/>
  <c r="H266" i="44"/>
  <c r="G258" i="44"/>
  <c r="G252" i="44"/>
  <c r="C241" i="44"/>
  <c r="G230" i="44"/>
  <c r="H228" i="44"/>
  <c r="I228" i="44" s="1"/>
  <c r="J228" i="44" s="1"/>
  <c r="K228" i="44" s="1"/>
  <c r="L228" i="44" s="1"/>
  <c r="M228" i="44" s="1"/>
  <c r="H227" i="44"/>
  <c r="I227" i="44" s="1"/>
  <c r="J227" i="44" s="1"/>
  <c r="K227" i="44" s="1"/>
  <c r="L227" i="44" s="1"/>
  <c r="M227" i="44" s="1"/>
  <c r="I226" i="44"/>
  <c r="J226" i="44" s="1"/>
  <c r="K226" i="44" s="1"/>
  <c r="L226" i="44" s="1"/>
  <c r="M226" i="44" s="1"/>
  <c r="H226" i="44"/>
  <c r="H225" i="44"/>
  <c r="I225" i="44" s="1"/>
  <c r="H224" i="44"/>
  <c r="I224" i="44" s="1"/>
  <c r="J224" i="44" s="1"/>
  <c r="K224" i="44" s="1"/>
  <c r="L224" i="44" s="1"/>
  <c r="M224" i="44" s="1"/>
  <c r="K223" i="44"/>
  <c r="H223" i="44"/>
  <c r="I223" i="44" s="1"/>
  <c r="J223" i="44" s="1"/>
  <c r="G217" i="44"/>
  <c r="H215" i="44"/>
  <c r="I215" i="44" s="1"/>
  <c r="J215" i="44" s="1"/>
  <c r="K215" i="44" s="1"/>
  <c r="L215" i="44" s="1"/>
  <c r="M215" i="44" s="1"/>
  <c r="H214" i="44"/>
  <c r="I214" i="44" s="1"/>
  <c r="J214" i="44" s="1"/>
  <c r="K214" i="44" s="1"/>
  <c r="L214" i="44" s="1"/>
  <c r="M214" i="44" s="1"/>
  <c r="L213" i="44"/>
  <c r="M213" i="44" s="1"/>
  <c r="H213" i="44"/>
  <c r="I213" i="44" s="1"/>
  <c r="J213" i="44" s="1"/>
  <c r="K213" i="44" s="1"/>
  <c r="H212" i="44"/>
  <c r="I212" i="44" s="1"/>
  <c r="J212" i="44" s="1"/>
  <c r="K212" i="44" s="1"/>
  <c r="L212" i="44" s="1"/>
  <c r="M212" i="44" s="1"/>
  <c r="L211" i="44"/>
  <c r="M211" i="44" s="1"/>
  <c r="H211" i="44"/>
  <c r="I211" i="44" s="1"/>
  <c r="J211" i="44" s="1"/>
  <c r="K211" i="44" s="1"/>
  <c r="H210" i="44"/>
  <c r="I210" i="44" s="1"/>
  <c r="J210" i="44" s="1"/>
  <c r="K210" i="44" s="1"/>
  <c r="L210" i="44" s="1"/>
  <c r="M210" i="44" s="1"/>
  <c r="J209" i="44"/>
  <c r="K209" i="44" s="1"/>
  <c r="L209" i="44" s="1"/>
  <c r="M209" i="44" s="1"/>
  <c r="H209" i="44"/>
  <c r="I209" i="44" s="1"/>
  <c r="H208" i="44"/>
  <c r="I208" i="44" s="1"/>
  <c r="J207" i="44"/>
  <c r="K207" i="44" s="1"/>
  <c r="L207" i="44" s="1"/>
  <c r="M207" i="44" s="1"/>
  <c r="H207" i="44"/>
  <c r="I207" i="44" s="1"/>
  <c r="H206" i="44"/>
  <c r="I206" i="44" s="1"/>
  <c r="J206" i="44" s="1"/>
  <c r="G200" i="44"/>
  <c r="H198" i="44"/>
  <c r="I198" i="44" s="1"/>
  <c r="J198" i="44" s="1"/>
  <c r="K198" i="44" s="1"/>
  <c r="L198" i="44" s="1"/>
  <c r="M198" i="44" s="1"/>
  <c r="I197" i="44"/>
  <c r="J197" i="44" s="1"/>
  <c r="K197" i="44" s="1"/>
  <c r="L197" i="44" s="1"/>
  <c r="M197" i="44" s="1"/>
  <c r="H197" i="44"/>
  <c r="I196" i="44"/>
  <c r="J196" i="44" s="1"/>
  <c r="K196" i="44" s="1"/>
  <c r="L196" i="44" s="1"/>
  <c r="M196" i="44" s="1"/>
  <c r="H196" i="44"/>
  <c r="H195" i="44"/>
  <c r="G187" i="44"/>
  <c r="M186" i="44"/>
  <c r="H186" i="44"/>
  <c r="I186" i="44" s="1"/>
  <c r="J186" i="44" s="1"/>
  <c r="K186" i="44" s="1"/>
  <c r="L186" i="44" s="1"/>
  <c r="H185" i="44"/>
  <c r="I185" i="44" s="1"/>
  <c r="J185" i="44" s="1"/>
  <c r="H184" i="44"/>
  <c r="I184" i="44" s="1"/>
  <c r="J184" i="44" s="1"/>
  <c r="K184" i="44" s="1"/>
  <c r="L184" i="44" s="1"/>
  <c r="M184" i="44" s="1"/>
  <c r="H183" i="44"/>
  <c r="I183" i="44" s="1"/>
  <c r="J183" i="44" s="1"/>
  <c r="K183" i="44" s="1"/>
  <c r="L183" i="44" s="1"/>
  <c r="M183" i="44" s="1"/>
  <c r="I182" i="44"/>
  <c r="J182" i="44" s="1"/>
  <c r="K182" i="44" s="1"/>
  <c r="L182" i="44" s="1"/>
  <c r="M182" i="44" s="1"/>
  <c r="H182" i="44"/>
  <c r="G180" i="44"/>
  <c r="G189" i="44" s="1"/>
  <c r="H179" i="44"/>
  <c r="I179" i="44" s="1"/>
  <c r="J179" i="44" s="1"/>
  <c r="K179" i="44" s="1"/>
  <c r="L179" i="44" s="1"/>
  <c r="M179" i="44" s="1"/>
  <c r="L178" i="44"/>
  <c r="M178" i="44" s="1"/>
  <c r="H178" i="44"/>
  <c r="I178" i="44" s="1"/>
  <c r="J178" i="44" s="1"/>
  <c r="K178" i="44" s="1"/>
  <c r="H177" i="44"/>
  <c r="I177" i="44" s="1"/>
  <c r="I180" i="44" s="1"/>
  <c r="G164" i="44"/>
  <c r="H162" i="44"/>
  <c r="I162" i="44" s="1"/>
  <c r="J162" i="44" s="1"/>
  <c r="K162" i="44" s="1"/>
  <c r="L162" i="44" s="1"/>
  <c r="M162" i="44" s="1"/>
  <c r="I161" i="44"/>
  <c r="J161" i="44" s="1"/>
  <c r="K161" i="44" s="1"/>
  <c r="L161" i="44" s="1"/>
  <c r="M161" i="44" s="1"/>
  <c r="H161" i="44"/>
  <c r="H160" i="44"/>
  <c r="I160" i="44" s="1"/>
  <c r="J160" i="44" s="1"/>
  <c r="K160" i="44" s="1"/>
  <c r="L160" i="44" s="1"/>
  <c r="M160" i="44" s="1"/>
  <c r="K159" i="44"/>
  <c r="L159" i="44" s="1"/>
  <c r="M159" i="44" s="1"/>
  <c r="I159" i="44"/>
  <c r="J159" i="44" s="1"/>
  <c r="H159" i="44"/>
  <c r="H158" i="44"/>
  <c r="I158" i="44" s="1"/>
  <c r="G152" i="44"/>
  <c r="I150" i="44"/>
  <c r="J150" i="44" s="1"/>
  <c r="K150" i="44" s="1"/>
  <c r="L150" i="44" s="1"/>
  <c r="M150" i="44" s="1"/>
  <c r="H150" i="44"/>
  <c r="H149" i="44"/>
  <c r="I149" i="44" s="1"/>
  <c r="J149" i="44" s="1"/>
  <c r="K149" i="44" s="1"/>
  <c r="L149" i="44" s="1"/>
  <c r="M149" i="44" s="1"/>
  <c r="H148" i="44"/>
  <c r="I148" i="44" s="1"/>
  <c r="J148" i="44" s="1"/>
  <c r="K148" i="44" s="1"/>
  <c r="L148" i="44" s="1"/>
  <c r="M148" i="44" s="1"/>
  <c r="K147" i="44"/>
  <c r="L147" i="44" s="1"/>
  <c r="M147" i="44" s="1"/>
  <c r="H147" i="44"/>
  <c r="I147" i="44" s="1"/>
  <c r="J147" i="44" s="1"/>
  <c r="H146" i="44"/>
  <c r="G136" i="44"/>
  <c r="H135" i="44"/>
  <c r="I135" i="44" s="1"/>
  <c r="J135" i="44" s="1"/>
  <c r="K135" i="44" s="1"/>
  <c r="L135" i="44" s="1"/>
  <c r="M135" i="44" s="1"/>
  <c r="L134" i="44"/>
  <c r="M134" i="44" s="1"/>
  <c r="I134" i="44"/>
  <c r="J134" i="44" s="1"/>
  <c r="K134" i="44" s="1"/>
  <c r="H134" i="44"/>
  <c r="H133" i="44"/>
  <c r="I133" i="44" s="1"/>
  <c r="J133" i="44" s="1"/>
  <c r="K133" i="44" s="1"/>
  <c r="L133" i="44" s="1"/>
  <c r="M133" i="44" s="1"/>
  <c r="I132" i="44"/>
  <c r="J132" i="44" s="1"/>
  <c r="K132" i="44" s="1"/>
  <c r="L132" i="44" s="1"/>
  <c r="M132" i="44" s="1"/>
  <c r="H132" i="44"/>
  <c r="H131" i="44"/>
  <c r="I131" i="44" s="1"/>
  <c r="H129" i="44"/>
  <c r="G129" i="44"/>
  <c r="H128" i="44"/>
  <c r="I128" i="44" s="1"/>
  <c r="J128" i="44" s="1"/>
  <c r="K128" i="44" s="1"/>
  <c r="L128" i="44" s="1"/>
  <c r="M128" i="44" s="1"/>
  <c r="H127" i="44"/>
  <c r="I127" i="44" s="1"/>
  <c r="J127" i="44" s="1"/>
  <c r="K127" i="44" s="1"/>
  <c r="L127" i="44" s="1"/>
  <c r="M127" i="44" s="1"/>
  <c r="H126" i="44"/>
  <c r="I126" i="44" s="1"/>
  <c r="J126" i="44" s="1"/>
  <c r="K126" i="44" s="1"/>
  <c r="L126" i="44" s="1"/>
  <c r="M126" i="44" s="1"/>
  <c r="I125" i="44"/>
  <c r="J125" i="44" s="1"/>
  <c r="K125" i="44" s="1"/>
  <c r="L125" i="44" s="1"/>
  <c r="M125" i="44" s="1"/>
  <c r="H125" i="44"/>
  <c r="H124" i="44"/>
  <c r="I124" i="44" s="1"/>
  <c r="J124" i="44" s="1"/>
  <c r="K124" i="44" s="1"/>
  <c r="L124" i="44" s="1"/>
  <c r="H120" i="44"/>
  <c r="I120" i="44" s="1"/>
  <c r="J120" i="44" s="1"/>
  <c r="K120" i="44" s="1"/>
  <c r="L120" i="44" s="1"/>
  <c r="M120" i="44" s="1"/>
  <c r="H119" i="44"/>
  <c r="I119" i="44" s="1"/>
  <c r="J119" i="44" s="1"/>
  <c r="K119" i="44" s="1"/>
  <c r="L119" i="44" s="1"/>
  <c r="M119" i="44" s="1"/>
  <c r="I118" i="44"/>
  <c r="J118" i="44" s="1"/>
  <c r="K118" i="44" s="1"/>
  <c r="L118" i="44" s="1"/>
  <c r="M118" i="44" s="1"/>
  <c r="H118" i="44"/>
  <c r="H117" i="44"/>
  <c r="I117" i="44" s="1"/>
  <c r="J117" i="44" s="1"/>
  <c r="K117" i="44" s="1"/>
  <c r="L117" i="44" s="1"/>
  <c r="M117" i="44" s="1"/>
  <c r="G113" i="44"/>
  <c r="C85" i="44"/>
  <c r="D76" i="44"/>
  <c r="D72" i="44"/>
  <c r="D77" i="44" s="1"/>
  <c r="D71" i="44"/>
  <c r="G63" i="44"/>
  <c r="H62" i="44"/>
  <c r="I62" i="44" s="1"/>
  <c r="J62" i="44" s="1"/>
  <c r="K62" i="44" s="1"/>
  <c r="L62" i="44" s="1"/>
  <c r="M62" i="44" s="1"/>
  <c r="G60" i="44"/>
  <c r="H59" i="44"/>
  <c r="I59" i="44" s="1"/>
  <c r="J59" i="44" s="1"/>
  <c r="K59" i="44" s="1"/>
  <c r="L59" i="44" s="1"/>
  <c r="M59" i="44" s="1"/>
  <c r="I58" i="44"/>
  <c r="J58" i="44" s="1"/>
  <c r="H58" i="44"/>
  <c r="H63" i="44" s="1"/>
  <c r="G57" i="44"/>
  <c r="J56" i="44"/>
  <c r="K56" i="44" s="1"/>
  <c r="L56" i="44" s="1"/>
  <c r="M56" i="44" s="1"/>
  <c r="I56" i="44"/>
  <c r="H56" i="44"/>
  <c r="H55" i="44"/>
  <c r="H57" i="44" s="1"/>
  <c r="I51" i="44"/>
  <c r="J51" i="44" s="1"/>
  <c r="K51" i="44" s="1"/>
  <c r="L51" i="44" s="1"/>
  <c r="M51" i="44" s="1"/>
  <c r="H51" i="44"/>
  <c r="G47" i="44"/>
  <c r="H36" i="44"/>
  <c r="I36" i="44" s="1"/>
  <c r="J36" i="44" s="1"/>
  <c r="G35" i="44"/>
  <c r="H34" i="44"/>
  <c r="I34" i="44" s="1"/>
  <c r="J34" i="44" s="1"/>
  <c r="K34" i="44" s="1"/>
  <c r="L34" i="44" s="1"/>
  <c r="M34" i="44" s="1"/>
  <c r="G29" i="44"/>
  <c r="J28" i="44"/>
  <c r="K28" i="44" s="1"/>
  <c r="L28" i="44" s="1"/>
  <c r="M28" i="44" s="1"/>
  <c r="I28" i="44"/>
  <c r="H28" i="44"/>
  <c r="H27" i="44"/>
  <c r="H35" i="44" s="1"/>
  <c r="G26" i="44"/>
  <c r="I25" i="44"/>
  <c r="H25" i="44"/>
  <c r="H24" i="44"/>
  <c r="I18" i="44"/>
  <c r="J18" i="44" s="1"/>
  <c r="K18" i="44" s="1"/>
  <c r="L18" i="44" s="1"/>
  <c r="M18" i="44" s="1"/>
  <c r="H18" i="44"/>
  <c r="M8" i="44"/>
  <c r="M86" i="44" s="1"/>
  <c r="M170" i="44" s="1"/>
  <c r="L8" i="44"/>
  <c r="L86" i="44" s="1"/>
  <c r="L170" i="44" s="1"/>
  <c r="K8" i="44"/>
  <c r="K86" i="44" s="1"/>
  <c r="K170" i="44" s="1"/>
  <c r="J8" i="44"/>
  <c r="J86" i="44" s="1"/>
  <c r="J170" i="44" s="1"/>
  <c r="I8" i="44"/>
  <c r="I86" i="44" s="1"/>
  <c r="I170" i="44" s="1"/>
  <c r="H8" i="44"/>
  <c r="H86" i="44" s="1"/>
  <c r="H170" i="44" s="1"/>
  <c r="G8" i="44"/>
  <c r="G86" i="44" s="1"/>
  <c r="G170" i="44" s="1"/>
  <c r="C5" i="44"/>
  <c r="G269" i="42"/>
  <c r="H267" i="42"/>
  <c r="I267" i="42" s="1"/>
  <c r="J267" i="42" s="1"/>
  <c r="K267" i="42" s="1"/>
  <c r="L267" i="42" s="1"/>
  <c r="M267" i="42" s="1"/>
  <c r="H266" i="42"/>
  <c r="I266" i="42" s="1"/>
  <c r="G260" i="42"/>
  <c r="G273" i="42" s="1"/>
  <c r="G274" i="42" s="1"/>
  <c r="G258" i="42"/>
  <c r="G252" i="42"/>
  <c r="C241" i="42"/>
  <c r="G230" i="42"/>
  <c r="H228" i="42"/>
  <c r="I228" i="42" s="1"/>
  <c r="J228" i="42" s="1"/>
  <c r="K228" i="42" s="1"/>
  <c r="L228" i="42" s="1"/>
  <c r="M228" i="42" s="1"/>
  <c r="H227" i="42"/>
  <c r="I227" i="42" s="1"/>
  <c r="J227" i="42" s="1"/>
  <c r="K227" i="42" s="1"/>
  <c r="L227" i="42" s="1"/>
  <c r="M227" i="42" s="1"/>
  <c r="L226" i="42"/>
  <c r="M226" i="42" s="1"/>
  <c r="H226" i="42"/>
  <c r="I226" i="42" s="1"/>
  <c r="J226" i="42" s="1"/>
  <c r="K226" i="42" s="1"/>
  <c r="H225" i="42"/>
  <c r="I225" i="42" s="1"/>
  <c r="J225" i="42" s="1"/>
  <c r="K225" i="42" s="1"/>
  <c r="L225" i="42" s="1"/>
  <c r="M225" i="42" s="1"/>
  <c r="L224" i="42"/>
  <c r="M224" i="42" s="1"/>
  <c r="H224" i="42"/>
  <c r="I224" i="42" s="1"/>
  <c r="J224" i="42" s="1"/>
  <c r="K224" i="42" s="1"/>
  <c r="H223" i="42"/>
  <c r="G217" i="42"/>
  <c r="H215" i="42"/>
  <c r="I215" i="42" s="1"/>
  <c r="J215" i="42" s="1"/>
  <c r="K215" i="42" s="1"/>
  <c r="L215" i="42" s="1"/>
  <c r="M215" i="42" s="1"/>
  <c r="H214" i="42"/>
  <c r="I214" i="42" s="1"/>
  <c r="J214" i="42" s="1"/>
  <c r="K214" i="42" s="1"/>
  <c r="L214" i="42" s="1"/>
  <c r="M214" i="42" s="1"/>
  <c r="K213" i="42"/>
  <c r="L213" i="42" s="1"/>
  <c r="M213" i="42" s="1"/>
  <c r="H213" i="42"/>
  <c r="I213" i="42" s="1"/>
  <c r="J213" i="42" s="1"/>
  <c r="H212" i="42"/>
  <c r="I212" i="42" s="1"/>
  <c r="J212" i="42" s="1"/>
  <c r="K212" i="42" s="1"/>
  <c r="L212" i="42" s="1"/>
  <c r="M212" i="42" s="1"/>
  <c r="K211" i="42"/>
  <c r="L211" i="42" s="1"/>
  <c r="M211" i="42" s="1"/>
  <c r="H211" i="42"/>
  <c r="I211" i="42" s="1"/>
  <c r="J211" i="42" s="1"/>
  <c r="H210" i="42"/>
  <c r="I210" i="42" s="1"/>
  <c r="J210" i="42" s="1"/>
  <c r="K210" i="42" s="1"/>
  <c r="L210" i="42" s="1"/>
  <c r="M210" i="42" s="1"/>
  <c r="H209" i="42"/>
  <c r="I209" i="42" s="1"/>
  <c r="J209" i="42" s="1"/>
  <c r="K209" i="42" s="1"/>
  <c r="L209" i="42" s="1"/>
  <c r="M209" i="42" s="1"/>
  <c r="H208" i="42"/>
  <c r="I208" i="42" s="1"/>
  <c r="J208" i="42" s="1"/>
  <c r="K208" i="42" s="1"/>
  <c r="L208" i="42" s="1"/>
  <c r="M208" i="42" s="1"/>
  <c r="H207" i="42"/>
  <c r="I207" i="42" s="1"/>
  <c r="J207" i="42" s="1"/>
  <c r="K207" i="42" s="1"/>
  <c r="L207" i="42" s="1"/>
  <c r="M207" i="42" s="1"/>
  <c r="H206" i="42"/>
  <c r="I206" i="42" s="1"/>
  <c r="G200" i="42"/>
  <c r="G234" i="42" s="1"/>
  <c r="H198" i="42"/>
  <c r="I198" i="42" s="1"/>
  <c r="J198" i="42" s="1"/>
  <c r="K198" i="42" s="1"/>
  <c r="L198" i="42" s="1"/>
  <c r="M198" i="42" s="1"/>
  <c r="L197" i="42"/>
  <c r="M197" i="42" s="1"/>
  <c r="H197" i="42"/>
  <c r="I197" i="42" s="1"/>
  <c r="J197" i="42" s="1"/>
  <c r="K197" i="42" s="1"/>
  <c r="H196" i="42"/>
  <c r="I196" i="42" s="1"/>
  <c r="J196" i="42" s="1"/>
  <c r="K196" i="42" s="1"/>
  <c r="L196" i="42" s="1"/>
  <c r="M196" i="42" s="1"/>
  <c r="H195" i="42"/>
  <c r="G187" i="42"/>
  <c r="J186" i="42"/>
  <c r="K186" i="42" s="1"/>
  <c r="L186" i="42" s="1"/>
  <c r="M186" i="42" s="1"/>
  <c r="H186" i="42"/>
  <c r="I186" i="42" s="1"/>
  <c r="H185" i="42"/>
  <c r="I185" i="42" s="1"/>
  <c r="J185" i="42" s="1"/>
  <c r="K185" i="42" s="1"/>
  <c r="L185" i="42" s="1"/>
  <c r="M185" i="42" s="1"/>
  <c r="J184" i="42"/>
  <c r="K184" i="42" s="1"/>
  <c r="L184" i="42" s="1"/>
  <c r="M184" i="42" s="1"/>
  <c r="H184" i="42"/>
  <c r="I184" i="42" s="1"/>
  <c r="H183" i="42"/>
  <c r="I183" i="42" s="1"/>
  <c r="J183" i="42" s="1"/>
  <c r="K183" i="42" s="1"/>
  <c r="L183" i="42" s="1"/>
  <c r="M183" i="42" s="1"/>
  <c r="H182" i="42"/>
  <c r="I182" i="42" s="1"/>
  <c r="G180" i="42"/>
  <c r="H179" i="42"/>
  <c r="I179" i="42" s="1"/>
  <c r="J179" i="42" s="1"/>
  <c r="K179" i="42" s="1"/>
  <c r="L179" i="42" s="1"/>
  <c r="M179" i="42" s="1"/>
  <c r="I178" i="42"/>
  <c r="J178" i="42" s="1"/>
  <c r="K178" i="42" s="1"/>
  <c r="L178" i="42" s="1"/>
  <c r="M178" i="42" s="1"/>
  <c r="H178" i="42"/>
  <c r="H180" i="42" s="1"/>
  <c r="H177" i="42"/>
  <c r="I177" i="42" s="1"/>
  <c r="G164" i="42"/>
  <c r="L162" i="42"/>
  <c r="M162" i="42" s="1"/>
  <c r="H162" i="42"/>
  <c r="I162" i="42" s="1"/>
  <c r="J162" i="42" s="1"/>
  <c r="K162" i="42" s="1"/>
  <c r="H161" i="42"/>
  <c r="I161" i="42" s="1"/>
  <c r="J161" i="42" s="1"/>
  <c r="K161" i="42" s="1"/>
  <c r="L161" i="42" s="1"/>
  <c r="M161" i="42" s="1"/>
  <c r="L160" i="42"/>
  <c r="M160" i="42" s="1"/>
  <c r="H160" i="42"/>
  <c r="I160" i="42" s="1"/>
  <c r="J160" i="42" s="1"/>
  <c r="K160" i="42" s="1"/>
  <c r="H159" i="42"/>
  <c r="I159" i="42" s="1"/>
  <c r="J159" i="42" s="1"/>
  <c r="K159" i="42" s="1"/>
  <c r="L159" i="42" s="1"/>
  <c r="M159" i="42" s="1"/>
  <c r="H158" i="42"/>
  <c r="H152" i="42"/>
  <c r="G152" i="42"/>
  <c r="I150" i="42"/>
  <c r="J150" i="42" s="1"/>
  <c r="K150" i="42" s="1"/>
  <c r="L150" i="42" s="1"/>
  <c r="M150" i="42" s="1"/>
  <c r="H150" i="42"/>
  <c r="K149" i="42"/>
  <c r="L149" i="42" s="1"/>
  <c r="M149" i="42" s="1"/>
  <c r="I149" i="42"/>
  <c r="J149" i="42" s="1"/>
  <c r="H149" i="42"/>
  <c r="I148" i="42"/>
  <c r="J148" i="42" s="1"/>
  <c r="K148" i="42" s="1"/>
  <c r="L148" i="42" s="1"/>
  <c r="M148" i="42" s="1"/>
  <c r="H148" i="42"/>
  <c r="I147" i="42"/>
  <c r="J147" i="42" s="1"/>
  <c r="K147" i="42" s="1"/>
  <c r="L147" i="42" s="1"/>
  <c r="M147" i="42" s="1"/>
  <c r="H147" i="42"/>
  <c r="I146" i="42"/>
  <c r="H146" i="42"/>
  <c r="G136" i="42"/>
  <c r="H135" i="42"/>
  <c r="I135" i="42" s="1"/>
  <c r="J135" i="42" s="1"/>
  <c r="K135" i="42" s="1"/>
  <c r="L135" i="42" s="1"/>
  <c r="M135" i="42" s="1"/>
  <c r="H134" i="42"/>
  <c r="I134" i="42" s="1"/>
  <c r="J134" i="42" s="1"/>
  <c r="K134" i="42" s="1"/>
  <c r="L134" i="42" s="1"/>
  <c r="M134" i="42" s="1"/>
  <c r="J133" i="42"/>
  <c r="K133" i="42" s="1"/>
  <c r="L133" i="42" s="1"/>
  <c r="M133" i="42" s="1"/>
  <c r="H133" i="42"/>
  <c r="I133" i="42" s="1"/>
  <c r="H132" i="42"/>
  <c r="I132" i="42" s="1"/>
  <c r="J132" i="42" s="1"/>
  <c r="K132" i="42" s="1"/>
  <c r="L132" i="42" s="1"/>
  <c r="M132" i="42" s="1"/>
  <c r="H131" i="42"/>
  <c r="G129" i="42"/>
  <c r="M128" i="42"/>
  <c r="H128" i="42"/>
  <c r="I128" i="42" s="1"/>
  <c r="J128" i="42" s="1"/>
  <c r="K128" i="42" s="1"/>
  <c r="L128" i="42" s="1"/>
  <c r="M127" i="42"/>
  <c r="K127" i="42"/>
  <c r="L127" i="42" s="1"/>
  <c r="I127" i="42"/>
  <c r="J127" i="42" s="1"/>
  <c r="H127" i="42"/>
  <c r="M126" i="42"/>
  <c r="K126" i="42"/>
  <c r="L126" i="42" s="1"/>
  <c r="I126" i="42"/>
  <c r="J126" i="42" s="1"/>
  <c r="H126" i="42"/>
  <c r="M125" i="42"/>
  <c r="K125" i="42"/>
  <c r="L125" i="42" s="1"/>
  <c r="I125" i="42"/>
  <c r="J125" i="42" s="1"/>
  <c r="H125" i="42"/>
  <c r="I124" i="42"/>
  <c r="H124" i="42"/>
  <c r="H129" i="42" s="1"/>
  <c r="H120" i="42"/>
  <c r="I120" i="42" s="1"/>
  <c r="J120" i="42" s="1"/>
  <c r="K120" i="42" s="1"/>
  <c r="L120" i="42" s="1"/>
  <c r="M120" i="42" s="1"/>
  <c r="K119" i="42"/>
  <c r="L119" i="42" s="1"/>
  <c r="M119" i="42" s="1"/>
  <c r="I119" i="42"/>
  <c r="J119" i="42" s="1"/>
  <c r="H119" i="42"/>
  <c r="K118" i="42"/>
  <c r="L118" i="42" s="1"/>
  <c r="M118" i="42" s="1"/>
  <c r="I118" i="42"/>
  <c r="J118" i="42" s="1"/>
  <c r="H118" i="42"/>
  <c r="I117" i="42"/>
  <c r="J117" i="42" s="1"/>
  <c r="K117" i="42" s="1"/>
  <c r="L117" i="42" s="1"/>
  <c r="M117" i="42" s="1"/>
  <c r="H117" i="42"/>
  <c r="G113" i="42"/>
  <c r="G100" i="42"/>
  <c r="C85" i="42"/>
  <c r="D72" i="42"/>
  <c r="D77" i="42" s="1"/>
  <c r="D71" i="42"/>
  <c r="D76" i="42" s="1"/>
  <c r="G63" i="42"/>
  <c r="I62" i="42"/>
  <c r="J62" i="42" s="1"/>
  <c r="K62" i="42" s="1"/>
  <c r="L62" i="42" s="1"/>
  <c r="M62" i="42" s="1"/>
  <c r="H62" i="42"/>
  <c r="G60" i="42"/>
  <c r="H59" i="42"/>
  <c r="I59" i="42" s="1"/>
  <c r="J59" i="42" s="1"/>
  <c r="K59" i="42" s="1"/>
  <c r="L59" i="42" s="1"/>
  <c r="M59" i="42" s="1"/>
  <c r="H58" i="42"/>
  <c r="G57" i="42"/>
  <c r="G72" i="42" s="1"/>
  <c r="G77" i="42" s="1"/>
  <c r="H56" i="42"/>
  <c r="I56" i="42" s="1"/>
  <c r="J56" i="42" s="1"/>
  <c r="K56" i="42" s="1"/>
  <c r="L56" i="42" s="1"/>
  <c r="M56" i="42" s="1"/>
  <c r="I55" i="42"/>
  <c r="J55" i="42" s="1"/>
  <c r="H55" i="42"/>
  <c r="I51" i="42"/>
  <c r="J51" i="42" s="1"/>
  <c r="K51" i="42" s="1"/>
  <c r="L51" i="42" s="1"/>
  <c r="M51" i="42" s="1"/>
  <c r="H51" i="42"/>
  <c r="G48" i="42"/>
  <c r="G47" i="42"/>
  <c r="G46" i="42"/>
  <c r="G45" i="42"/>
  <c r="G44" i="42"/>
  <c r="H36" i="42"/>
  <c r="H113" i="42" s="1"/>
  <c r="G35" i="42"/>
  <c r="H34" i="42"/>
  <c r="I34" i="42" s="1"/>
  <c r="J34" i="42" s="1"/>
  <c r="K34" i="42" s="1"/>
  <c r="L34" i="42" s="1"/>
  <c r="M34" i="42" s="1"/>
  <c r="G29" i="42"/>
  <c r="H28" i="42"/>
  <c r="I28" i="42" s="1"/>
  <c r="J28" i="42" s="1"/>
  <c r="K28" i="42" s="1"/>
  <c r="L28" i="42" s="1"/>
  <c r="M28" i="42" s="1"/>
  <c r="H27" i="42"/>
  <c r="G26" i="42"/>
  <c r="G106" i="42" s="1"/>
  <c r="H25" i="42"/>
  <c r="H24" i="42"/>
  <c r="I18" i="42"/>
  <c r="J18" i="42" s="1"/>
  <c r="K18" i="42" s="1"/>
  <c r="L18" i="42" s="1"/>
  <c r="M18" i="42" s="1"/>
  <c r="H18" i="42"/>
  <c r="M8" i="42"/>
  <c r="M86" i="42" s="1"/>
  <c r="M170" i="42" s="1"/>
  <c r="L8" i="42"/>
  <c r="L86" i="42" s="1"/>
  <c r="L170" i="42" s="1"/>
  <c r="K8" i="42"/>
  <c r="K86" i="42" s="1"/>
  <c r="K170" i="42" s="1"/>
  <c r="J8" i="42"/>
  <c r="J86" i="42" s="1"/>
  <c r="J170" i="42" s="1"/>
  <c r="I8" i="42"/>
  <c r="I86" i="42" s="1"/>
  <c r="I170" i="42" s="1"/>
  <c r="H8" i="42"/>
  <c r="H86" i="42" s="1"/>
  <c r="H170" i="42" s="1"/>
  <c r="G8" i="42"/>
  <c r="G86" i="42" s="1"/>
  <c r="G170" i="42" s="1"/>
  <c r="C5" i="42"/>
  <c r="G269" i="41"/>
  <c r="K267" i="41"/>
  <c r="L267" i="41" s="1"/>
  <c r="M267" i="41" s="1"/>
  <c r="H267" i="41"/>
  <c r="I267" i="41" s="1"/>
  <c r="J267" i="41" s="1"/>
  <c r="H266" i="41"/>
  <c r="H269" i="41" s="1"/>
  <c r="G260" i="41"/>
  <c r="G273" i="41" s="1"/>
  <c r="G274" i="41" s="1"/>
  <c r="G258" i="41"/>
  <c r="G252" i="41"/>
  <c r="C241" i="41"/>
  <c r="G230" i="41"/>
  <c r="L228" i="41"/>
  <c r="M228" i="41" s="1"/>
  <c r="H228" i="41"/>
  <c r="I228" i="41" s="1"/>
  <c r="J228" i="41" s="1"/>
  <c r="K228" i="41" s="1"/>
  <c r="I227" i="41"/>
  <c r="J227" i="41" s="1"/>
  <c r="K227" i="41" s="1"/>
  <c r="L227" i="41" s="1"/>
  <c r="M227" i="41" s="1"/>
  <c r="H227" i="41"/>
  <c r="H226" i="41"/>
  <c r="I226" i="41" s="1"/>
  <c r="J226" i="41" s="1"/>
  <c r="K226" i="41" s="1"/>
  <c r="L226" i="41" s="1"/>
  <c r="M226" i="41" s="1"/>
  <c r="I225" i="41"/>
  <c r="J225" i="41" s="1"/>
  <c r="K225" i="41" s="1"/>
  <c r="L225" i="41" s="1"/>
  <c r="M225" i="41" s="1"/>
  <c r="H225" i="41"/>
  <c r="H224" i="41"/>
  <c r="I223" i="41"/>
  <c r="J223" i="41" s="1"/>
  <c r="H223" i="41"/>
  <c r="G217" i="41"/>
  <c r="H215" i="41"/>
  <c r="I215" i="41" s="1"/>
  <c r="J215" i="41" s="1"/>
  <c r="K215" i="41" s="1"/>
  <c r="L215" i="41" s="1"/>
  <c r="M215" i="41" s="1"/>
  <c r="H214" i="41"/>
  <c r="I214" i="41" s="1"/>
  <c r="J214" i="41" s="1"/>
  <c r="K214" i="41" s="1"/>
  <c r="L214" i="41" s="1"/>
  <c r="M214" i="41" s="1"/>
  <c r="H213" i="41"/>
  <c r="I213" i="41" s="1"/>
  <c r="J213" i="41" s="1"/>
  <c r="K213" i="41" s="1"/>
  <c r="L213" i="41" s="1"/>
  <c r="M213" i="41" s="1"/>
  <c r="I212" i="41"/>
  <c r="J212" i="41" s="1"/>
  <c r="K212" i="41" s="1"/>
  <c r="L212" i="41" s="1"/>
  <c r="M212" i="41" s="1"/>
  <c r="H212" i="41"/>
  <c r="H211" i="41"/>
  <c r="I211" i="41" s="1"/>
  <c r="J211" i="41" s="1"/>
  <c r="K211" i="41" s="1"/>
  <c r="L211" i="41" s="1"/>
  <c r="M211" i="41" s="1"/>
  <c r="I210" i="41"/>
  <c r="J210" i="41" s="1"/>
  <c r="K210" i="41" s="1"/>
  <c r="L210" i="41" s="1"/>
  <c r="M210" i="41" s="1"/>
  <c r="H210" i="41"/>
  <c r="H209" i="41"/>
  <c r="I209" i="41" s="1"/>
  <c r="J209" i="41" s="1"/>
  <c r="K209" i="41" s="1"/>
  <c r="L209" i="41" s="1"/>
  <c r="M209" i="41" s="1"/>
  <c r="I208" i="41"/>
  <c r="J208" i="41" s="1"/>
  <c r="K208" i="41" s="1"/>
  <c r="L208" i="41" s="1"/>
  <c r="M208" i="41" s="1"/>
  <c r="H208" i="41"/>
  <c r="H207" i="41"/>
  <c r="I207" i="41" s="1"/>
  <c r="J207" i="41" s="1"/>
  <c r="K207" i="41" s="1"/>
  <c r="L207" i="41" s="1"/>
  <c r="M207" i="41" s="1"/>
  <c r="H206" i="41"/>
  <c r="G200" i="41"/>
  <c r="H198" i="41"/>
  <c r="I198" i="41" s="1"/>
  <c r="J198" i="41" s="1"/>
  <c r="K198" i="41" s="1"/>
  <c r="L198" i="41" s="1"/>
  <c r="M198" i="41" s="1"/>
  <c r="L197" i="41"/>
  <c r="M197" i="41" s="1"/>
  <c r="H197" i="41"/>
  <c r="I197" i="41" s="1"/>
  <c r="J197" i="41" s="1"/>
  <c r="K197" i="41" s="1"/>
  <c r="I196" i="41"/>
  <c r="J196" i="41" s="1"/>
  <c r="K196" i="41" s="1"/>
  <c r="L196" i="41" s="1"/>
  <c r="M196" i="41" s="1"/>
  <c r="H196" i="41"/>
  <c r="H195" i="41"/>
  <c r="G187" i="41"/>
  <c r="J186" i="41"/>
  <c r="K186" i="41" s="1"/>
  <c r="L186" i="41" s="1"/>
  <c r="M186" i="41" s="1"/>
  <c r="I186" i="41"/>
  <c r="H186" i="41"/>
  <c r="H185" i="41"/>
  <c r="I185" i="41" s="1"/>
  <c r="J185" i="41" s="1"/>
  <c r="K185" i="41" s="1"/>
  <c r="L185" i="41" s="1"/>
  <c r="M185" i="41" s="1"/>
  <c r="J184" i="41"/>
  <c r="K184" i="41" s="1"/>
  <c r="L184" i="41" s="1"/>
  <c r="M184" i="41" s="1"/>
  <c r="I184" i="41"/>
  <c r="H184" i="41"/>
  <c r="H183" i="41"/>
  <c r="I183" i="41" s="1"/>
  <c r="J183" i="41" s="1"/>
  <c r="K183" i="41" s="1"/>
  <c r="L183" i="41" s="1"/>
  <c r="M183" i="41" s="1"/>
  <c r="H182" i="41"/>
  <c r="H180" i="41"/>
  <c r="G180" i="41"/>
  <c r="H179" i="41"/>
  <c r="I179" i="41" s="1"/>
  <c r="J179" i="41" s="1"/>
  <c r="K179" i="41" s="1"/>
  <c r="L179" i="41" s="1"/>
  <c r="M179" i="41" s="1"/>
  <c r="I178" i="41"/>
  <c r="J178" i="41" s="1"/>
  <c r="K178" i="41" s="1"/>
  <c r="L178" i="41" s="1"/>
  <c r="M178" i="41" s="1"/>
  <c r="H178" i="41"/>
  <c r="H177" i="41"/>
  <c r="I177" i="41" s="1"/>
  <c r="G164" i="41"/>
  <c r="H162" i="41"/>
  <c r="I162" i="41" s="1"/>
  <c r="J162" i="41" s="1"/>
  <c r="K162" i="41" s="1"/>
  <c r="L162" i="41" s="1"/>
  <c r="M162" i="41" s="1"/>
  <c r="I161" i="41"/>
  <c r="J161" i="41" s="1"/>
  <c r="K161" i="41" s="1"/>
  <c r="L161" i="41" s="1"/>
  <c r="M161" i="41" s="1"/>
  <c r="H161" i="41"/>
  <c r="H160" i="41"/>
  <c r="I160" i="41" s="1"/>
  <c r="J160" i="41" s="1"/>
  <c r="K160" i="41" s="1"/>
  <c r="L160" i="41" s="1"/>
  <c r="M160" i="41" s="1"/>
  <c r="H159" i="41"/>
  <c r="I159" i="41" s="1"/>
  <c r="J159" i="41" s="1"/>
  <c r="K159" i="41" s="1"/>
  <c r="L159" i="41" s="1"/>
  <c r="M159" i="41" s="1"/>
  <c r="H158" i="41"/>
  <c r="I158" i="41" s="1"/>
  <c r="G152" i="41"/>
  <c r="J150" i="41"/>
  <c r="K150" i="41" s="1"/>
  <c r="L150" i="41" s="1"/>
  <c r="M150" i="41" s="1"/>
  <c r="I150" i="41"/>
  <c r="H150" i="41"/>
  <c r="H149" i="41"/>
  <c r="I149" i="41" s="1"/>
  <c r="J149" i="41" s="1"/>
  <c r="K149" i="41" s="1"/>
  <c r="L149" i="41" s="1"/>
  <c r="M149" i="41" s="1"/>
  <c r="H148" i="41"/>
  <c r="I148" i="41" s="1"/>
  <c r="J148" i="41" s="1"/>
  <c r="K148" i="41" s="1"/>
  <c r="L148" i="41" s="1"/>
  <c r="M148" i="41" s="1"/>
  <c r="I147" i="41"/>
  <c r="J147" i="41" s="1"/>
  <c r="K147" i="41" s="1"/>
  <c r="L147" i="41" s="1"/>
  <c r="M147" i="41" s="1"/>
  <c r="H147" i="41"/>
  <c r="H146" i="41"/>
  <c r="G136" i="41"/>
  <c r="H135" i="41"/>
  <c r="I135" i="41" s="1"/>
  <c r="J135" i="41" s="1"/>
  <c r="K135" i="41" s="1"/>
  <c r="L135" i="41" s="1"/>
  <c r="M135" i="41" s="1"/>
  <c r="H134" i="41"/>
  <c r="I134" i="41" s="1"/>
  <c r="J134" i="41" s="1"/>
  <c r="K134" i="41" s="1"/>
  <c r="L134" i="41" s="1"/>
  <c r="M134" i="41" s="1"/>
  <c r="L133" i="41"/>
  <c r="M133" i="41" s="1"/>
  <c r="H133" i="41"/>
  <c r="I133" i="41" s="1"/>
  <c r="J133" i="41" s="1"/>
  <c r="K133" i="41" s="1"/>
  <c r="I132" i="41"/>
  <c r="J132" i="41" s="1"/>
  <c r="K132" i="41" s="1"/>
  <c r="L132" i="41" s="1"/>
  <c r="M132" i="41" s="1"/>
  <c r="H132" i="41"/>
  <c r="K131" i="41"/>
  <c r="H131" i="41"/>
  <c r="I131" i="41" s="1"/>
  <c r="J131" i="41" s="1"/>
  <c r="G129" i="41"/>
  <c r="G138" i="41" s="1"/>
  <c r="I128" i="41"/>
  <c r="J128" i="41" s="1"/>
  <c r="K128" i="41" s="1"/>
  <c r="L128" i="41" s="1"/>
  <c r="M128" i="41" s="1"/>
  <c r="H128" i="41"/>
  <c r="H127" i="41"/>
  <c r="I127" i="41" s="1"/>
  <c r="J127" i="41" s="1"/>
  <c r="K127" i="41" s="1"/>
  <c r="L127" i="41" s="1"/>
  <c r="M127" i="41" s="1"/>
  <c r="H126" i="41"/>
  <c r="I126" i="41" s="1"/>
  <c r="J126" i="41" s="1"/>
  <c r="K126" i="41" s="1"/>
  <c r="L126" i="41" s="1"/>
  <c r="M126" i="41" s="1"/>
  <c r="H125" i="41"/>
  <c r="I125" i="41" s="1"/>
  <c r="J125" i="41" s="1"/>
  <c r="K125" i="41" s="1"/>
  <c r="L125" i="41" s="1"/>
  <c r="M125" i="41" s="1"/>
  <c r="H124" i="41"/>
  <c r="H120" i="41"/>
  <c r="I120" i="41" s="1"/>
  <c r="J120" i="41" s="1"/>
  <c r="K120" i="41" s="1"/>
  <c r="L120" i="41" s="1"/>
  <c r="M120" i="41" s="1"/>
  <c r="L119" i="41"/>
  <c r="M119" i="41" s="1"/>
  <c r="H119" i="41"/>
  <c r="I119" i="41" s="1"/>
  <c r="J119" i="41" s="1"/>
  <c r="K119" i="41" s="1"/>
  <c r="H118" i="41"/>
  <c r="I118" i="41" s="1"/>
  <c r="J118" i="41" s="1"/>
  <c r="K118" i="41" s="1"/>
  <c r="L118" i="41" s="1"/>
  <c r="M118" i="41" s="1"/>
  <c r="L117" i="41"/>
  <c r="M117" i="41" s="1"/>
  <c r="H117" i="41"/>
  <c r="I117" i="41" s="1"/>
  <c r="J117" i="41" s="1"/>
  <c r="K117" i="41" s="1"/>
  <c r="G113" i="41"/>
  <c r="C85" i="41"/>
  <c r="D72" i="41"/>
  <c r="D77" i="41" s="1"/>
  <c r="D71" i="41"/>
  <c r="D76" i="41" s="1"/>
  <c r="G64" i="41"/>
  <c r="G61" i="41" s="1"/>
  <c r="G63" i="41"/>
  <c r="I62" i="41"/>
  <c r="J62" i="41" s="1"/>
  <c r="K62" i="41" s="1"/>
  <c r="L62" i="41" s="1"/>
  <c r="M62" i="41" s="1"/>
  <c r="H62" i="41"/>
  <c r="G60" i="41"/>
  <c r="M59" i="41"/>
  <c r="H59" i="41"/>
  <c r="I59" i="41" s="1"/>
  <c r="J59" i="41" s="1"/>
  <c r="K59" i="41" s="1"/>
  <c r="L59" i="41" s="1"/>
  <c r="H58" i="41"/>
  <c r="G57" i="41"/>
  <c r="G100" i="41" s="1"/>
  <c r="H56" i="41"/>
  <c r="I56" i="41" s="1"/>
  <c r="J56" i="41" s="1"/>
  <c r="K56" i="41" s="1"/>
  <c r="L56" i="41" s="1"/>
  <c r="M56" i="41" s="1"/>
  <c r="H55" i="41"/>
  <c r="H51" i="41"/>
  <c r="I51" i="41" s="1"/>
  <c r="J51" i="41" s="1"/>
  <c r="K51" i="41" s="1"/>
  <c r="L51" i="41" s="1"/>
  <c r="M51" i="41" s="1"/>
  <c r="G47" i="41"/>
  <c r="H36" i="41"/>
  <c r="H113" i="41" s="1"/>
  <c r="G35" i="41"/>
  <c r="H34" i="41"/>
  <c r="I34" i="41" s="1"/>
  <c r="J34" i="41" s="1"/>
  <c r="K34" i="41" s="1"/>
  <c r="L34" i="41" s="1"/>
  <c r="M34" i="41" s="1"/>
  <c r="G29" i="41"/>
  <c r="H28" i="41"/>
  <c r="I28" i="41" s="1"/>
  <c r="J28" i="41" s="1"/>
  <c r="K28" i="41" s="1"/>
  <c r="L28" i="41" s="1"/>
  <c r="M28" i="41" s="1"/>
  <c r="H27" i="41"/>
  <c r="H26" i="41"/>
  <c r="G26" i="41"/>
  <c r="G95" i="41" s="1"/>
  <c r="I25" i="41"/>
  <c r="J25" i="41" s="1"/>
  <c r="K25" i="41" s="1"/>
  <c r="L25" i="41" s="1"/>
  <c r="M25" i="41" s="1"/>
  <c r="H25" i="41"/>
  <c r="I24" i="41"/>
  <c r="H24" i="41"/>
  <c r="H18" i="41"/>
  <c r="M8" i="41"/>
  <c r="M86" i="41" s="1"/>
  <c r="M170" i="41" s="1"/>
  <c r="L8" i="41"/>
  <c r="L86" i="41" s="1"/>
  <c r="L170" i="41" s="1"/>
  <c r="K8" i="41"/>
  <c r="K86" i="41" s="1"/>
  <c r="K170" i="41" s="1"/>
  <c r="J8" i="41"/>
  <c r="J86" i="41" s="1"/>
  <c r="J170" i="41" s="1"/>
  <c r="I8" i="41"/>
  <c r="I86" i="41" s="1"/>
  <c r="I170" i="41" s="1"/>
  <c r="H8" i="41"/>
  <c r="H86" i="41" s="1"/>
  <c r="H170" i="41" s="1"/>
  <c r="G8" i="41"/>
  <c r="G86" i="41" s="1"/>
  <c r="G170" i="41" s="1"/>
  <c r="C5" i="41"/>
  <c r="G269" i="40"/>
  <c r="H267" i="40"/>
  <c r="I267" i="40" s="1"/>
  <c r="J267" i="40" s="1"/>
  <c r="K267" i="40" s="1"/>
  <c r="L267" i="40" s="1"/>
  <c r="M267" i="40" s="1"/>
  <c r="J266" i="40"/>
  <c r="I266" i="40"/>
  <c r="I269" i="40" s="1"/>
  <c r="H266" i="40"/>
  <c r="G258" i="40"/>
  <c r="G252" i="40"/>
  <c r="C241" i="40"/>
  <c r="G230" i="40"/>
  <c r="I228" i="40"/>
  <c r="J228" i="40" s="1"/>
  <c r="K228" i="40" s="1"/>
  <c r="L228" i="40" s="1"/>
  <c r="M228" i="40" s="1"/>
  <c r="H228" i="40"/>
  <c r="H227" i="40"/>
  <c r="I227" i="40" s="1"/>
  <c r="J227" i="40" s="1"/>
  <c r="K227" i="40" s="1"/>
  <c r="L227" i="40" s="1"/>
  <c r="M227" i="40" s="1"/>
  <c r="H226" i="40"/>
  <c r="I226" i="40" s="1"/>
  <c r="J226" i="40" s="1"/>
  <c r="K226" i="40" s="1"/>
  <c r="L226" i="40" s="1"/>
  <c r="M226" i="40" s="1"/>
  <c r="J225" i="40"/>
  <c r="K225" i="40" s="1"/>
  <c r="L225" i="40" s="1"/>
  <c r="M225" i="40" s="1"/>
  <c r="I225" i="40"/>
  <c r="H225" i="40"/>
  <c r="H224" i="40"/>
  <c r="H223" i="40"/>
  <c r="I223" i="40" s="1"/>
  <c r="J223" i="40" s="1"/>
  <c r="G217" i="40"/>
  <c r="H215" i="40"/>
  <c r="I215" i="40" s="1"/>
  <c r="J215" i="40" s="1"/>
  <c r="K215" i="40" s="1"/>
  <c r="L215" i="40" s="1"/>
  <c r="M215" i="40" s="1"/>
  <c r="I214" i="40"/>
  <c r="J214" i="40" s="1"/>
  <c r="K214" i="40" s="1"/>
  <c r="L214" i="40" s="1"/>
  <c r="M214" i="40" s="1"/>
  <c r="H214" i="40"/>
  <c r="H213" i="40"/>
  <c r="I213" i="40" s="1"/>
  <c r="J213" i="40" s="1"/>
  <c r="K213" i="40" s="1"/>
  <c r="L213" i="40" s="1"/>
  <c r="M213" i="40" s="1"/>
  <c r="I212" i="40"/>
  <c r="J212" i="40" s="1"/>
  <c r="K212" i="40" s="1"/>
  <c r="L212" i="40" s="1"/>
  <c r="M212" i="40" s="1"/>
  <c r="H212" i="40"/>
  <c r="H211" i="40"/>
  <c r="I211" i="40" s="1"/>
  <c r="J211" i="40" s="1"/>
  <c r="K211" i="40" s="1"/>
  <c r="L211" i="40" s="1"/>
  <c r="M211" i="40" s="1"/>
  <c r="J210" i="40"/>
  <c r="K210" i="40" s="1"/>
  <c r="L210" i="40" s="1"/>
  <c r="M210" i="40" s="1"/>
  <c r="I210" i="40"/>
  <c r="H210" i="40"/>
  <c r="K209" i="40"/>
  <c r="L209" i="40" s="1"/>
  <c r="M209" i="40" s="1"/>
  <c r="H209" i="40"/>
  <c r="I209" i="40" s="1"/>
  <c r="J209" i="40" s="1"/>
  <c r="I208" i="40"/>
  <c r="J208" i="40" s="1"/>
  <c r="K208" i="40" s="1"/>
  <c r="L208" i="40" s="1"/>
  <c r="M208" i="40" s="1"/>
  <c r="H208" i="40"/>
  <c r="H207" i="40"/>
  <c r="I207" i="40" s="1"/>
  <c r="J207" i="40" s="1"/>
  <c r="K207" i="40" s="1"/>
  <c r="L207" i="40" s="1"/>
  <c r="M207" i="40" s="1"/>
  <c r="I206" i="40"/>
  <c r="J206" i="40" s="1"/>
  <c r="H206" i="40"/>
  <c r="G200" i="40"/>
  <c r="H198" i="40"/>
  <c r="I198" i="40" s="1"/>
  <c r="J198" i="40" s="1"/>
  <c r="K198" i="40" s="1"/>
  <c r="L198" i="40" s="1"/>
  <c r="M198" i="40" s="1"/>
  <c r="L197" i="40"/>
  <c r="M197" i="40" s="1"/>
  <c r="I197" i="40"/>
  <c r="J197" i="40" s="1"/>
  <c r="K197" i="40" s="1"/>
  <c r="H197" i="40"/>
  <c r="I196" i="40"/>
  <c r="J196" i="40" s="1"/>
  <c r="K196" i="40" s="1"/>
  <c r="L196" i="40" s="1"/>
  <c r="M196" i="40" s="1"/>
  <c r="H196" i="40"/>
  <c r="H195" i="40"/>
  <c r="I195" i="40" s="1"/>
  <c r="G187" i="40"/>
  <c r="H186" i="40"/>
  <c r="I186" i="40" s="1"/>
  <c r="J186" i="40" s="1"/>
  <c r="K186" i="40" s="1"/>
  <c r="L186" i="40" s="1"/>
  <c r="M186" i="40" s="1"/>
  <c r="L185" i="40"/>
  <c r="M185" i="40" s="1"/>
  <c r="I185" i="40"/>
  <c r="J185" i="40" s="1"/>
  <c r="K185" i="40" s="1"/>
  <c r="H185" i="40"/>
  <c r="H184" i="40"/>
  <c r="I184" i="40" s="1"/>
  <c r="J184" i="40" s="1"/>
  <c r="K184" i="40" s="1"/>
  <c r="L184" i="40" s="1"/>
  <c r="M184" i="40" s="1"/>
  <c r="H183" i="40"/>
  <c r="H182" i="40"/>
  <c r="I182" i="40" s="1"/>
  <c r="G180" i="40"/>
  <c r="H179" i="40"/>
  <c r="I179" i="40" s="1"/>
  <c r="J179" i="40" s="1"/>
  <c r="K179" i="40" s="1"/>
  <c r="L179" i="40" s="1"/>
  <c r="M179" i="40" s="1"/>
  <c r="H178" i="40"/>
  <c r="I178" i="40" s="1"/>
  <c r="J178" i="40" s="1"/>
  <c r="K178" i="40" s="1"/>
  <c r="L178" i="40" s="1"/>
  <c r="M178" i="40" s="1"/>
  <c r="H177" i="40"/>
  <c r="G164" i="40"/>
  <c r="H162" i="40"/>
  <c r="I162" i="40" s="1"/>
  <c r="J162" i="40" s="1"/>
  <c r="K162" i="40" s="1"/>
  <c r="L162" i="40" s="1"/>
  <c r="M162" i="40" s="1"/>
  <c r="H161" i="40"/>
  <c r="I161" i="40" s="1"/>
  <c r="J161" i="40" s="1"/>
  <c r="K161" i="40" s="1"/>
  <c r="L161" i="40" s="1"/>
  <c r="M161" i="40" s="1"/>
  <c r="I160" i="40"/>
  <c r="J160" i="40" s="1"/>
  <c r="K160" i="40" s="1"/>
  <c r="L160" i="40" s="1"/>
  <c r="M160" i="40" s="1"/>
  <c r="H160" i="40"/>
  <c r="H159" i="40"/>
  <c r="I159" i="40" s="1"/>
  <c r="J159" i="40" s="1"/>
  <c r="K159" i="40" s="1"/>
  <c r="L159" i="40" s="1"/>
  <c r="M159" i="40" s="1"/>
  <c r="H158" i="40"/>
  <c r="G152" i="40"/>
  <c r="H150" i="40"/>
  <c r="I150" i="40" s="1"/>
  <c r="J150" i="40" s="1"/>
  <c r="K150" i="40" s="1"/>
  <c r="L150" i="40" s="1"/>
  <c r="M150" i="40" s="1"/>
  <c r="K149" i="40"/>
  <c r="L149" i="40" s="1"/>
  <c r="M149" i="40" s="1"/>
  <c r="H149" i="40"/>
  <c r="I149" i="40" s="1"/>
  <c r="J149" i="40" s="1"/>
  <c r="H148" i="40"/>
  <c r="I148" i="40" s="1"/>
  <c r="J148" i="40" s="1"/>
  <c r="K148" i="40" s="1"/>
  <c r="L148" i="40" s="1"/>
  <c r="M148" i="40" s="1"/>
  <c r="H147" i="40"/>
  <c r="I147" i="40" s="1"/>
  <c r="J147" i="40" s="1"/>
  <c r="K147" i="40" s="1"/>
  <c r="L147" i="40" s="1"/>
  <c r="M147" i="40" s="1"/>
  <c r="H146" i="40"/>
  <c r="G136" i="40"/>
  <c r="H135" i="40"/>
  <c r="I135" i="40" s="1"/>
  <c r="J135" i="40" s="1"/>
  <c r="K135" i="40" s="1"/>
  <c r="L135" i="40" s="1"/>
  <c r="M135" i="40" s="1"/>
  <c r="L134" i="40"/>
  <c r="M134" i="40" s="1"/>
  <c r="H134" i="40"/>
  <c r="I134" i="40" s="1"/>
  <c r="J134" i="40" s="1"/>
  <c r="K134" i="40" s="1"/>
  <c r="H133" i="40"/>
  <c r="I133" i="40" s="1"/>
  <c r="J133" i="40" s="1"/>
  <c r="K133" i="40" s="1"/>
  <c r="L133" i="40" s="1"/>
  <c r="M133" i="40" s="1"/>
  <c r="H132" i="40"/>
  <c r="H131" i="40"/>
  <c r="I131" i="40" s="1"/>
  <c r="J131" i="40" s="1"/>
  <c r="G129" i="40"/>
  <c r="H128" i="40"/>
  <c r="I128" i="40" s="1"/>
  <c r="J128" i="40" s="1"/>
  <c r="K128" i="40" s="1"/>
  <c r="L128" i="40" s="1"/>
  <c r="M128" i="40" s="1"/>
  <c r="I127" i="40"/>
  <c r="J127" i="40" s="1"/>
  <c r="K127" i="40" s="1"/>
  <c r="L127" i="40" s="1"/>
  <c r="M127" i="40" s="1"/>
  <c r="H127" i="40"/>
  <c r="K126" i="40"/>
  <c r="L126" i="40" s="1"/>
  <c r="M126" i="40" s="1"/>
  <c r="H126" i="40"/>
  <c r="I126" i="40" s="1"/>
  <c r="J126" i="40" s="1"/>
  <c r="M125" i="40"/>
  <c r="I125" i="40"/>
  <c r="J125" i="40" s="1"/>
  <c r="K125" i="40" s="1"/>
  <c r="L125" i="40" s="1"/>
  <c r="H125" i="40"/>
  <c r="H124" i="40"/>
  <c r="I124" i="40" s="1"/>
  <c r="J120" i="40"/>
  <c r="K120" i="40" s="1"/>
  <c r="L120" i="40" s="1"/>
  <c r="M120" i="40" s="1"/>
  <c r="I120" i="40"/>
  <c r="H120" i="40"/>
  <c r="H119" i="40"/>
  <c r="I119" i="40" s="1"/>
  <c r="J119" i="40" s="1"/>
  <c r="K119" i="40" s="1"/>
  <c r="L119" i="40" s="1"/>
  <c r="M119" i="40" s="1"/>
  <c r="M118" i="40"/>
  <c r="I118" i="40"/>
  <c r="J118" i="40" s="1"/>
  <c r="K118" i="40" s="1"/>
  <c r="L118" i="40" s="1"/>
  <c r="H118" i="40"/>
  <c r="H117" i="40"/>
  <c r="I117" i="40" s="1"/>
  <c r="J117" i="40" s="1"/>
  <c r="K117" i="40" s="1"/>
  <c r="L117" i="40" s="1"/>
  <c r="M117" i="40" s="1"/>
  <c r="G116" i="40"/>
  <c r="G121" i="40" s="1"/>
  <c r="G113" i="40"/>
  <c r="G100" i="40"/>
  <c r="C85" i="40"/>
  <c r="G72" i="40"/>
  <c r="G77" i="40" s="1"/>
  <c r="D72" i="40"/>
  <c r="D77" i="40" s="1"/>
  <c r="D71" i="40"/>
  <c r="D76" i="40" s="1"/>
  <c r="G63" i="40"/>
  <c r="I62" i="40"/>
  <c r="J62" i="40" s="1"/>
  <c r="K62" i="40" s="1"/>
  <c r="L62" i="40" s="1"/>
  <c r="M62" i="40" s="1"/>
  <c r="H62" i="40"/>
  <c r="G60" i="40"/>
  <c r="H59" i="40"/>
  <c r="I59" i="40" s="1"/>
  <c r="J59" i="40" s="1"/>
  <c r="K59" i="40" s="1"/>
  <c r="L59" i="40" s="1"/>
  <c r="M59" i="40" s="1"/>
  <c r="H58" i="40"/>
  <c r="H63" i="40" s="1"/>
  <c r="G57" i="40"/>
  <c r="H56" i="40"/>
  <c r="I56" i="40" s="1"/>
  <c r="J56" i="40" s="1"/>
  <c r="K56" i="40" s="1"/>
  <c r="L56" i="40" s="1"/>
  <c r="M56" i="40" s="1"/>
  <c r="I55" i="40"/>
  <c r="H55" i="40"/>
  <c r="H51" i="40"/>
  <c r="I51" i="40" s="1"/>
  <c r="J51" i="40" s="1"/>
  <c r="K51" i="40" s="1"/>
  <c r="L51" i="40" s="1"/>
  <c r="M51" i="40" s="1"/>
  <c r="G48" i="40"/>
  <c r="G52" i="40" s="1"/>
  <c r="G47" i="40"/>
  <c r="G45" i="40"/>
  <c r="G44" i="40"/>
  <c r="H36" i="40"/>
  <c r="H113" i="40" s="1"/>
  <c r="G35" i="40"/>
  <c r="H34" i="40"/>
  <c r="I34" i="40" s="1"/>
  <c r="J34" i="40" s="1"/>
  <c r="K34" i="40" s="1"/>
  <c r="L34" i="40" s="1"/>
  <c r="M34" i="40" s="1"/>
  <c r="G29" i="40"/>
  <c r="H28" i="40"/>
  <c r="I28" i="40" s="1"/>
  <c r="J28" i="40" s="1"/>
  <c r="K28" i="40" s="1"/>
  <c r="L28" i="40" s="1"/>
  <c r="M28" i="40" s="1"/>
  <c r="I27" i="40"/>
  <c r="I29" i="40" s="1"/>
  <c r="H27" i="40"/>
  <c r="H29" i="40" s="1"/>
  <c r="G26" i="40"/>
  <c r="G111" i="40" s="1"/>
  <c r="H25" i="40"/>
  <c r="I25" i="40" s="1"/>
  <c r="H24" i="40"/>
  <c r="H18" i="40"/>
  <c r="I18" i="40" s="1"/>
  <c r="J18" i="40" s="1"/>
  <c r="K18" i="40" s="1"/>
  <c r="L18" i="40" s="1"/>
  <c r="M18" i="40" s="1"/>
  <c r="M8" i="40"/>
  <c r="M86" i="40" s="1"/>
  <c r="M170" i="40" s="1"/>
  <c r="L8" i="40"/>
  <c r="L86" i="40" s="1"/>
  <c r="L170" i="40" s="1"/>
  <c r="K8" i="40"/>
  <c r="K86" i="40" s="1"/>
  <c r="K170" i="40" s="1"/>
  <c r="J8" i="40"/>
  <c r="J86" i="40" s="1"/>
  <c r="J170" i="40" s="1"/>
  <c r="I8" i="40"/>
  <c r="I86" i="40" s="1"/>
  <c r="I170" i="40" s="1"/>
  <c r="H8" i="40"/>
  <c r="H86" i="40" s="1"/>
  <c r="H170" i="40" s="1"/>
  <c r="G8" i="40"/>
  <c r="G86" i="40" s="1"/>
  <c r="G170" i="40" s="1"/>
  <c r="C5" i="40"/>
  <c r="G269" i="39"/>
  <c r="H267" i="39"/>
  <c r="I267" i="39" s="1"/>
  <c r="J267" i="39" s="1"/>
  <c r="K267" i="39" s="1"/>
  <c r="L267" i="39" s="1"/>
  <c r="M267" i="39" s="1"/>
  <c r="H266" i="39"/>
  <c r="I266" i="39" s="1"/>
  <c r="G260" i="39"/>
  <c r="G258" i="39"/>
  <c r="G252" i="39"/>
  <c r="C241" i="39"/>
  <c r="G230" i="39"/>
  <c r="H228" i="39"/>
  <c r="I228" i="39" s="1"/>
  <c r="J228" i="39" s="1"/>
  <c r="K228" i="39" s="1"/>
  <c r="L228" i="39" s="1"/>
  <c r="M228" i="39" s="1"/>
  <c r="J227" i="39"/>
  <c r="K227" i="39" s="1"/>
  <c r="L227" i="39" s="1"/>
  <c r="M227" i="39" s="1"/>
  <c r="H227" i="39"/>
  <c r="I227" i="39" s="1"/>
  <c r="H226" i="39"/>
  <c r="I226" i="39" s="1"/>
  <c r="J226" i="39" s="1"/>
  <c r="K226" i="39" s="1"/>
  <c r="L226" i="39" s="1"/>
  <c r="M226" i="39" s="1"/>
  <c r="H225" i="39"/>
  <c r="I225" i="39" s="1"/>
  <c r="J225" i="39" s="1"/>
  <c r="K225" i="39" s="1"/>
  <c r="L225" i="39" s="1"/>
  <c r="M225" i="39" s="1"/>
  <c r="H224" i="39"/>
  <c r="I224" i="39" s="1"/>
  <c r="J224" i="39" s="1"/>
  <c r="K224" i="39" s="1"/>
  <c r="L224" i="39" s="1"/>
  <c r="M224" i="39" s="1"/>
  <c r="H223" i="39"/>
  <c r="G217" i="39"/>
  <c r="H215" i="39"/>
  <c r="I215" i="39" s="1"/>
  <c r="J215" i="39" s="1"/>
  <c r="K215" i="39" s="1"/>
  <c r="L215" i="39" s="1"/>
  <c r="M215" i="39" s="1"/>
  <c r="H214" i="39"/>
  <c r="I214" i="39" s="1"/>
  <c r="J214" i="39" s="1"/>
  <c r="K214" i="39" s="1"/>
  <c r="L214" i="39" s="1"/>
  <c r="M214" i="39" s="1"/>
  <c r="H213" i="39"/>
  <c r="I213" i="39" s="1"/>
  <c r="J213" i="39" s="1"/>
  <c r="K213" i="39" s="1"/>
  <c r="L213" i="39" s="1"/>
  <c r="M213" i="39" s="1"/>
  <c r="M212" i="39"/>
  <c r="I212" i="39"/>
  <c r="J212" i="39" s="1"/>
  <c r="K212" i="39" s="1"/>
  <c r="L212" i="39" s="1"/>
  <c r="H212" i="39"/>
  <c r="H211" i="39"/>
  <c r="I211" i="39" s="1"/>
  <c r="J211" i="39" s="1"/>
  <c r="K211" i="39" s="1"/>
  <c r="L211" i="39" s="1"/>
  <c r="M211" i="39" s="1"/>
  <c r="I210" i="39"/>
  <c r="J210" i="39" s="1"/>
  <c r="K210" i="39" s="1"/>
  <c r="L210" i="39" s="1"/>
  <c r="M210" i="39" s="1"/>
  <c r="H210" i="39"/>
  <c r="H209" i="39"/>
  <c r="I209" i="39" s="1"/>
  <c r="J209" i="39" s="1"/>
  <c r="K209" i="39" s="1"/>
  <c r="L209" i="39" s="1"/>
  <c r="M209" i="39" s="1"/>
  <c r="M208" i="39"/>
  <c r="I208" i="39"/>
  <c r="J208" i="39" s="1"/>
  <c r="K208" i="39" s="1"/>
  <c r="L208" i="39" s="1"/>
  <c r="H208" i="39"/>
  <c r="H207" i="39"/>
  <c r="I207" i="39" s="1"/>
  <c r="J207" i="39" s="1"/>
  <c r="K207" i="39" s="1"/>
  <c r="L207" i="39" s="1"/>
  <c r="M207" i="39" s="1"/>
  <c r="I206" i="39"/>
  <c r="H206" i="39"/>
  <c r="G200" i="39"/>
  <c r="H198" i="39"/>
  <c r="I198" i="39" s="1"/>
  <c r="J198" i="39" s="1"/>
  <c r="K198" i="39" s="1"/>
  <c r="L198" i="39" s="1"/>
  <c r="M198" i="39" s="1"/>
  <c r="L197" i="39"/>
  <c r="M197" i="39" s="1"/>
  <c r="H197" i="39"/>
  <c r="I197" i="39" s="1"/>
  <c r="J197" i="39" s="1"/>
  <c r="K197" i="39" s="1"/>
  <c r="H196" i="39"/>
  <c r="I196" i="39" s="1"/>
  <c r="J196" i="39" s="1"/>
  <c r="K196" i="39" s="1"/>
  <c r="L196" i="39" s="1"/>
  <c r="M196" i="39" s="1"/>
  <c r="H195" i="39"/>
  <c r="G187" i="39"/>
  <c r="H186" i="39"/>
  <c r="I186" i="39" s="1"/>
  <c r="J186" i="39" s="1"/>
  <c r="K186" i="39" s="1"/>
  <c r="L186" i="39" s="1"/>
  <c r="M186" i="39" s="1"/>
  <c r="I185" i="39"/>
  <c r="J185" i="39" s="1"/>
  <c r="K185" i="39" s="1"/>
  <c r="L185" i="39" s="1"/>
  <c r="M185" i="39" s="1"/>
  <c r="H185" i="39"/>
  <c r="H184" i="39"/>
  <c r="I184" i="39" s="1"/>
  <c r="J184" i="39" s="1"/>
  <c r="K184" i="39" s="1"/>
  <c r="L184" i="39" s="1"/>
  <c r="M184" i="39" s="1"/>
  <c r="H183" i="39"/>
  <c r="H182" i="39"/>
  <c r="I182" i="39" s="1"/>
  <c r="J182" i="39" s="1"/>
  <c r="G180" i="39"/>
  <c r="G189" i="39" s="1"/>
  <c r="K179" i="39"/>
  <c r="L179" i="39" s="1"/>
  <c r="M179" i="39" s="1"/>
  <c r="H179" i="39"/>
  <c r="I179" i="39" s="1"/>
  <c r="J179" i="39" s="1"/>
  <c r="H178" i="39"/>
  <c r="I178" i="39" s="1"/>
  <c r="J178" i="39" s="1"/>
  <c r="K178" i="39" s="1"/>
  <c r="L178" i="39" s="1"/>
  <c r="M178" i="39" s="1"/>
  <c r="H177" i="39"/>
  <c r="G164" i="39"/>
  <c r="M162" i="39"/>
  <c r="H162" i="39"/>
  <c r="I162" i="39" s="1"/>
  <c r="J162" i="39" s="1"/>
  <c r="K162" i="39" s="1"/>
  <c r="L162" i="39" s="1"/>
  <c r="H161" i="39"/>
  <c r="I161" i="39" s="1"/>
  <c r="J161" i="39" s="1"/>
  <c r="K161" i="39" s="1"/>
  <c r="L161" i="39" s="1"/>
  <c r="M161" i="39" s="1"/>
  <c r="I160" i="39"/>
  <c r="J160" i="39" s="1"/>
  <c r="K160" i="39" s="1"/>
  <c r="L160" i="39" s="1"/>
  <c r="M160" i="39" s="1"/>
  <c r="H160" i="39"/>
  <c r="H159" i="39"/>
  <c r="I159" i="39" s="1"/>
  <c r="J159" i="39" s="1"/>
  <c r="K159" i="39" s="1"/>
  <c r="L159" i="39" s="1"/>
  <c r="M159" i="39" s="1"/>
  <c r="H158" i="39"/>
  <c r="I158" i="39" s="1"/>
  <c r="G152" i="39"/>
  <c r="H150" i="39"/>
  <c r="I150" i="39" s="1"/>
  <c r="J150" i="39" s="1"/>
  <c r="K150" i="39" s="1"/>
  <c r="L150" i="39" s="1"/>
  <c r="M150" i="39" s="1"/>
  <c r="H149" i="39"/>
  <c r="I149" i="39" s="1"/>
  <c r="J149" i="39" s="1"/>
  <c r="K149" i="39" s="1"/>
  <c r="L149" i="39" s="1"/>
  <c r="M149" i="39" s="1"/>
  <c r="L148" i="39"/>
  <c r="M148" i="39" s="1"/>
  <c r="J148" i="39"/>
  <c r="K148" i="39" s="1"/>
  <c r="H148" i="39"/>
  <c r="I148" i="39" s="1"/>
  <c r="H147" i="39"/>
  <c r="I147" i="39" s="1"/>
  <c r="J147" i="39" s="1"/>
  <c r="K147" i="39" s="1"/>
  <c r="L147" i="39" s="1"/>
  <c r="M147" i="39" s="1"/>
  <c r="H146" i="39"/>
  <c r="G136" i="39"/>
  <c r="H135" i="39"/>
  <c r="I135" i="39" s="1"/>
  <c r="J135" i="39" s="1"/>
  <c r="K135" i="39" s="1"/>
  <c r="L135" i="39" s="1"/>
  <c r="M135" i="39" s="1"/>
  <c r="I134" i="39"/>
  <c r="J134" i="39" s="1"/>
  <c r="K134" i="39" s="1"/>
  <c r="L134" i="39" s="1"/>
  <c r="M134" i="39" s="1"/>
  <c r="H134" i="39"/>
  <c r="H133" i="39"/>
  <c r="I133" i="39" s="1"/>
  <c r="J133" i="39" s="1"/>
  <c r="K133" i="39" s="1"/>
  <c r="L133" i="39" s="1"/>
  <c r="M133" i="39" s="1"/>
  <c r="H132" i="39"/>
  <c r="I132" i="39" s="1"/>
  <c r="J132" i="39" s="1"/>
  <c r="K132" i="39" s="1"/>
  <c r="L132" i="39" s="1"/>
  <c r="M132" i="39" s="1"/>
  <c r="H131" i="39"/>
  <c r="I131" i="39" s="1"/>
  <c r="G129" i="39"/>
  <c r="H128" i="39"/>
  <c r="I128" i="39" s="1"/>
  <c r="J128" i="39" s="1"/>
  <c r="K128" i="39" s="1"/>
  <c r="L128" i="39" s="1"/>
  <c r="M128" i="39" s="1"/>
  <c r="H127" i="39"/>
  <c r="I127" i="39" s="1"/>
  <c r="J127" i="39" s="1"/>
  <c r="K127" i="39" s="1"/>
  <c r="L127" i="39" s="1"/>
  <c r="M127" i="39" s="1"/>
  <c r="H126" i="39"/>
  <c r="I126" i="39" s="1"/>
  <c r="J126" i="39" s="1"/>
  <c r="K126" i="39" s="1"/>
  <c r="L126" i="39" s="1"/>
  <c r="M126" i="39" s="1"/>
  <c r="H125" i="39"/>
  <c r="I125" i="39" s="1"/>
  <c r="J125" i="39" s="1"/>
  <c r="K125" i="39" s="1"/>
  <c r="L125" i="39" s="1"/>
  <c r="M125" i="39" s="1"/>
  <c r="H124" i="39"/>
  <c r="H120" i="39"/>
  <c r="I120" i="39" s="1"/>
  <c r="J120" i="39" s="1"/>
  <c r="K120" i="39" s="1"/>
  <c r="L120" i="39" s="1"/>
  <c r="M120" i="39" s="1"/>
  <c r="H119" i="39"/>
  <c r="I119" i="39" s="1"/>
  <c r="J119" i="39" s="1"/>
  <c r="K119" i="39" s="1"/>
  <c r="L119" i="39" s="1"/>
  <c r="M119" i="39" s="1"/>
  <c r="H118" i="39"/>
  <c r="I118" i="39" s="1"/>
  <c r="J118" i="39" s="1"/>
  <c r="K118" i="39" s="1"/>
  <c r="L118" i="39" s="1"/>
  <c r="M118" i="39" s="1"/>
  <c r="H117" i="39"/>
  <c r="I117" i="39" s="1"/>
  <c r="J117" i="39" s="1"/>
  <c r="K117" i="39" s="1"/>
  <c r="L117" i="39" s="1"/>
  <c r="M117" i="39" s="1"/>
  <c r="G113" i="39"/>
  <c r="C85" i="39"/>
  <c r="D72" i="39"/>
  <c r="D77" i="39" s="1"/>
  <c r="D71" i="39"/>
  <c r="D76" i="39" s="1"/>
  <c r="G63" i="39"/>
  <c r="J62" i="39"/>
  <c r="K62" i="39" s="1"/>
  <c r="L62" i="39" s="1"/>
  <c r="M62" i="39" s="1"/>
  <c r="H62" i="39"/>
  <c r="I62" i="39" s="1"/>
  <c r="G60" i="39"/>
  <c r="J59" i="39"/>
  <c r="K59" i="39" s="1"/>
  <c r="L59" i="39" s="1"/>
  <c r="M59" i="39" s="1"/>
  <c r="H59" i="39"/>
  <c r="I59" i="39" s="1"/>
  <c r="H58" i="39"/>
  <c r="G57" i="39"/>
  <c r="K56" i="39"/>
  <c r="L56" i="39" s="1"/>
  <c r="M56" i="39" s="1"/>
  <c r="H56" i="39"/>
  <c r="I56" i="39" s="1"/>
  <c r="J56" i="39" s="1"/>
  <c r="H55" i="39"/>
  <c r="H57" i="39" s="1"/>
  <c r="H45" i="39" s="1"/>
  <c r="I51" i="39"/>
  <c r="J51" i="39" s="1"/>
  <c r="K51" i="39" s="1"/>
  <c r="L51" i="39" s="1"/>
  <c r="M51" i="39" s="1"/>
  <c r="H51" i="39"/>
  <c r="H47" i="39"/>
  <c r="G47" i="39"/>
  <c r="G44" i="39"/>
  <c r="H36" i="39"/>
  <c r="G35" i="39"/>
  <c r="H34" i="39"/>
  <c r="I34" i="39" s="1"/>
  <c r="J34" i="39" s="1"/>
  <c r="K34" i="39" s="1"/>
  <c r="L34" i="39" s="1"/>
  <c r="M34" i="39" s="1"/>
  <c r="G29" i="39"/>
  <c r="I28" i="39"/>
  <c r="J28" i="39" s="1"/>
  <c r="K28" i="39" s="1"/>
  <c r="L28" i="39" s="1"/>
  <c r="M28" i="39" s="1"/>
  <c r="H28" i="39"/>
  <c r="H27" i="39"/>
  <c r="H35" i="39" s="1"/>
  <c r="G26" i="39"/>
  <c r="G106" i="39" s="1"/>
  <c r="H25" i="39"/>
  <c r="H24" i="39"/>
  <c r="I24" i="39" s="1"/>
  <c r="H18" i="39"/>
  <c r="I18" i="39" s="1"/>
  <c r="J18" i="39" s="1"/>
  <c r="K18" i="39" s="1"/>
  <c r="L18" i="39" s="1"/>
  <c r="M18" i="39" s="1"/>
  <c r="M8" i="39"/>
  <c r="M86" i="39" s="1"/>
  <c r="M170" i="39" s="1"/>
  <c r="L8" i="39"/>
  <c r="L86" i="39" s="1"/>
  <c r="L170" i="39" s="1"/>
  <c r="K8" i="39"/>
  <c r="K86" i="39" s="1"/>
  <c r="K170" i="39" s="1"/>
  <c r="J8" i="39"/>
  <c r="J86" i="39" s="1"/>
  <c r="J170" i="39" s="1"/>
  <c r="I8" i="39"/>
  <c r="I86" i="39" s="1"/>
  <c r="I170" i="39" s="1"/>
  <c r="H8" i="39"/>
  <c r="H86" i="39" s="1"/>
  <c r="H170" i="39" s="1"/>
  <c r="G8" i="39"/>
  <c r="G86" i="39" s="1"/>
  <c r="G170" i="39" s="1"/>
  <c r="C5" i="39"/>
  <c r="G269" i="38"/>
  <c r="H267" i="38"/>
  <c r="I267" i="38" s="1"/>
  <c r="J267" i="38" s="1"/>
  <c r="K267" i="38" s="1"/>
  <c r="L267" i="38" s="1"/>
  <c r="M267" i="38" s="1"/>
  <c r="I266" i="38"/>
  <c r="H266" i="38"/>
  <c r="H269" i="38" s="1"/>
  <c r="G258" i="38"/>
  <c r="G252" i="38"/>
  <c r="G260" i="38" s="1"/>
  <c r="G273" i="38" s="1"/>
  <c r="G274" i="38" s="1"/>
  <c r="C241" i="38"/>
  <c r="G230" i="38"/>
  <c r="H228" i="38"/>
  <c r="I228" i="38" s="1"/>
  <c r="J228" i="38" s="1"/>
  <c r="K228" i="38" s="1"/>
  <c r="L228" i="38" s="1"/>
  <c r="M228" i="38" s="1"/>
  <c r="H227" i="38"/>
  <c r="I227" i="38" s="1"/>
  <c r="J227" i="38" s="1"/>
  <c r="K227" i="38" s="1"/>
  <c r="L227" i="38" s="1"/>
  <c r="M227" i="38" s="1"/>
  <c r="H226" i="38"/>
  <c r="I226" i="38" s="1"/>
  <c r="J226" i="38" s="1"/>
  <c r="K226" i="38" s="1"/>
  <c r="L226" i="38" s="1"/>
  <c r="M226" i="38" s="1"/>
  <c r="H225" i="38"/>
  <c r="I225" i="38" s="1"/>
  <c r="J225" i="38" s="1"/>
  <c r="K225" i="38" s="1"/>
  <c r="L225" i="38" s="1"/>
  <c r="M225" i="38" s="1"/>
  <c r="H224" i="38"/>
  <c r="I224" i="38" s="1"/>
  <c r="J224" i="38" s="1"/>
  <c r="K224" i="38" s="1"/>
  <c r="L224" i="38" s="1"/>
  <c r="M224" i="38" s="1"/>
  <c r="H223" i="38"/>
  <c r="G217" i="38"/>
  <c r="H215" i="38"/>
  <c r="I215" i="38" s="1"/>
  <c r="J215" i="38" s="1"/>
  <c r="K215" i="38" s="1"/>
  <c r="L215" i="38" s="1"/>
  <c r="M215" i="38" s="1"/>
  <c r="I214" i="38"/>
  <c r="J214" i="38" s="1"/>
  <c r="K214" i="38" s="1"/>
  <c r="L214" i="38" s="1"/>
  <c r="M214" i="38" s="1"/>
  <c r="H214" i="38"/>
  <c r="H213" i="38"/>
  <c r="H217" i="38" s="1"/>
  <c r="H256" i="38" s="1"/>
  <c r="H212" i="38"/>
  <c r="I212" i="38" s="1"/>
  <c r="J212" i="38" s="1"/>
  <c r="K212" i="38" s="1"/>
  <c r="L212" i="38" s="1"/>
  <c r="M212" i="38" s="1"/>
  <c r="I211" i="38"/>
  <c r="J211" i="38" s="1"/>
  <c r="K211" i="38" s="1"/>
  <c r="L211" i="38" s="1"/>
  <c r="M211" i="38" s="1"/>
  <c r="H211" i="38"/>
  <c r="H210" i="38"/>
  <c r="I210" i="38" s="1"/>
  <c r="J210" i="38" s="1"/>
  <c r="K210" i="38" s="1"/>
  <c r="L210" i="38" s="1"/>
  <c r="M210" i="38" s="1"/>
  <c r="K209" i="38"/>
  <c r="L209" i="38" s="1"/>
  <c r="M209" i="38" s="1"/>
  <c r="I209" i="38"/>
  <c r="J209" i="38" s="1"/>
  <c r="H209" i="38"/>
  <c r="I208" i="38"/>
  <c r="J208" i="38" s="1"/>
  <c r="K208" i="38" s="1"/>
  <c r="L208" i="38" s="1"/>
  <c r="M208" i="38" s="1"/>
  <c r="H208" i="38"/>
  <c r="H207" i="38"/>
  <c r="I207" i="38" s="1"/>
  <c r="J207" i="38" s="1"/>
  <c r="K207" i="38" s="1"/>
  <c r="L207" i="38" s="1"/>
  <c r="M207" i="38" s="1"/>
  <c r="I206" i="38"/>
  <c r="H206" i="38"/>
  <c r="G200" i="38"/>
  <c r="G234" i="38" s="1"/>
  <c r="H198" i="38"/>
  <c r="I198" i="38" s="1"/>
  <c r="J198" i="38" s="1"/>
  <c r="K198" i="38" s="1"/>
  <c r="L198" i="38" s="1"/>
  <c r="M198" i="38" s="1"/>
  <c r="L197" i="38"/>
  <c r="M197" i="38" s="1"/>
  <c r="H197" i="38"/>
  <c r="I197" i="38" s="1"/>
  <c r="J197" i="38" s="1"/>
  <c r="K197" i="38" s="1"/>
  <c r="H196" i="38"/>
  <c r="I196" i="38" s="1"/>
  <c r="J196" i="38" s="1"/>
  <c r="K196" i="38" s="1"/>
  <c r="L196" i="38" s="1"/>
  <c r="M196" i="38" s="1"/>
  <c r="H195" i="38"/>
  <c r="G187" i="38"/>
  <c r="H186" i="38"/>
  <c r="I186" i="38" s="1"/>
  <c r="J186" i="38" s="1"/>
  <c r="K186" i="38" s="1"/>
  <c r="L186" i="38" s="1"/>
  <c r="M186" i="38" s="1"/>
  <c r="H185" i="38"/>
  <c r="I185" i="38" s="1"/>
  <c r="J185" i="38" s="1"/>
  <c r="K185" i="38" s="1"/>
  <c r="L185" i="38" s="1"/>
  <c r="M185" i="38" s="1"/>
  <c r="J184" i="38"/>
  <c r="K184" i="38" s="1"/>
  <c r="L184" i="38" s="1"/>
  <c r="M184" i="38" s="1"/>
  <c r="H184" i="38"/>
  <c r="I184" i="38" s="1"/>
  <c r="H183" i="38"/>
  <c r="I183" i="38" s="1"/>
  <c r="J183" i="38" s="1"/>
  <c r="K183" i="38" s="1"/>
  <c r="L183" i="38" s="1"/>
  <c r="M183" i="38" s="1"/>
  <c r="H182" i="38"/>
  <c r="G180" i="38"/>
  <c r="H179" i="38"/>
  <c r="H180" i="38" s="1"/>
  <c r="H178" i="38"/>
  <c r="I178" i="38" s="1"/>
  <c r="J178" i="38" s="1"/>
  <c r="K178" i="38" s="1"/>
  <c r="L178" i="38" s="1"/>
  <c r="M178" i="38" s="1"/>
  <c r="I177" i="38"/>
  <c r="H177" i="38"/>
  <c r="G164" i="38"/>
  <c r="H162" i="38"/>
  <c r="I162" i="38" s="1"/>
  <c r="J162" i="38" s="1"/>
  <c r="K162" i="38" s="1"/>
  <c r="L162" i="38" s="1"/>
  <c r="M162" i="38" s="1"/>
  <c r="H161" i="38"/>
  <c r="I161" i="38" s="1"/>
  <c r="J161" i="38" s="1"/>
  <c r="K161" i="38" s="1"/>
  <c r="L161" i="38" s="1"/>
  <c r="M161" i="38" s="1"/>
  <c r="H160" i="38"/>
  <c r="I160" i="38" s="1"/>
  <c r="J160" i="38" s="1"/>
  <c r="K160" i="38" s="1"/>
  <c r="L160" i="38" s="1"/>
  <c r="M160" i="38" s="1"/>
  <c r="H159" i="38"/>
  <c r="I159" i="38" s="1"/>
  <c r="H158" i="38"/>
  <c r="I158" i="38" s="1"/>
  <c r="J158" i="38" s="1"/>
  <c r="G152" i="38"/>
  <c r="H150" i="38"/>
  <c r="I150" i="38" s="1"/>
  <c r="J150" i="38" s="1"/>
  <c r="K150" i="38" s="1"/>
  <c r="L150" i="38" s="1"/>
  <c r="M150" i="38" s="1"/>
  <c r="H149" i="38"/>
  <c r="I149" i="38" s="1"/>
  <c r="J149" i="38" s="1"/>
  <c r="K149" i="38" s="1"/>
  <c r="L149" i="38" s="1"/>
  <c r="M149" i="38" s="1"/>
  <c r="H148" i="38"/>
  <c r="I148" i="38" s="1"/>
  <c r="J148" i="38" s="1"/>
  <c r="K148" i="38" s="1"/>
  <c r="L148" i="38" s="1"/>
  <c r="M148" i="38" s="1"/>
  <c r="H147" i="38"/>
  <c r="I147" i="38" s="1"/>
  <c r="J147" i="38" s="1"/>
  <c r="K147" i="38" s="1"/>
  <c r="L147" i="38" s="1"/>
  <c r="M147" i="38" s="1"/>
  <c r="H146" i="38"/>
  <c r="H152" i="38" s="1"/>
  <c r="H153" i="38" s="1"/>
  <c r="H250" i="38" s="1"/>
  <c r="G136" i="38"/>
  <c r="I135" i="38"/>
  <c r="J135" i="38" s="1"/>
  <c r="K135" i="38" s="1"/>
  <c r="L135" i="38" s="1"/>
  <c r="M135" i="38" s="1"/>
  <c r="H135" i="38"/>
  <c r="H134" i="38"/>
  <c r="I134" i="38" s="1"/>
  <c r="J134" i="38" s="1"/>
  <c r="K134" i="38" s="1"/>
  <c r="L134" i="38" s="1"/>
  <c r="M134" i="38" s="1"/>
  <c r="H133" i="38"/>
  <c r="I133" i="38" s="1"/>
  <c r="J133" i="38" s="1"/>
  <c r="K133" i="38" s="1"/>
  <c r="L133" i="38" s="1"/>
  <c r="M133" i="38" s="1"/>
  <c r="I132" i="38"/>
  <c r="J132" i="38" s="1"/>
  <c r="K132" i="38" s="1"/>
  <c r="L132" i="38" s="1"/>
  <c r="M132" i="38" s="1"/>
  <c r="H132" i="38"/>
  <c r="H131" i="38"/>
  <c r="H136" i="38" s="1"/>
  <c r="G129" i="38"/>
  <c r="H128" i="38"/>
  <c r="I128" i="38" s="1"/>
  <c r="J128" i="38" s="1"/>
  <c r="K128" i="38" s="1"/>
  <c r="L128" i="38" s="1"/>
  <c r="M128" i="38" s="1"/>
  <c r="I127" i="38"/>
  <c r="J127" i="38" s="1"/>
  <c r="K127" i="38" s="1"/>
  <c r="L127" i="38" s="1"/>
  <c r="M127" i="38" s="1"/>
  <c r="H127" i="38"/>
  <c r="H126" i="38"/>
  <c r="I126" i="38" s="1"/>
  <c r="J126" i="38" s="1"/>
  <c r="K126" i="38" s="1"/>
  <c r="L126" i="38" s="1"/>
  <c r="M126" i="38" s="1"/>
  <c r="I125" i="38"/>
  <c r="J125" i="38" s="1"/>
  <c r="K125" i="38" s="1"/>
  <c r="L125" i="38" s="1"/>
  <c r="M125" i="38" s="1"/>
  <c r="H125" i="38"/>
  <c r="H124" i="38"/>
  <c r="H120" i="38"/>
  <c r="I120" i="38" s="1"/>
  <c r="J120" i="38" s="1"/>
  <c r="K120" i="38" s="1"/>
  <c r="L120" i="38" s="1"/>
  <c r="M120" i="38" s="1"/>
  <c r="L119" i="38"/>
  <c r="M119" i="38" s="1"/>
  <c r="K119" i="38"/>
  <c r="H119" i="38"/>
  <c r="I119" i="38" s="1"/>
  <c r="J119" i="38" s="1"/>
  <c r="J118" i="38"/>
  <c r="K118" i="38" s="1"/>
  <c r="L118" i="38" s="1"/>
  <c r="M118" i="38" s="1"/>
  <c r="I118" i="38"/>
  <c r="H118" i="38"/>
  <c r="K117" i="38"/>
  <c r="L117" i="38" s="1"/>
  <c r="M117" i="38" s="1"/>
  <c r="H117" i="38"/>
  <c r="I117" i="38" s="1"/>
  <c r="J117" i="38" s="1"/>
  <c r="G113" i="38"/>
  <c r="C85" i="38"/>
  <c r="D77" i="38"/>
  <c r="D72" i="38"/>
  <c r="D71" i="38"/>
  <c r="D76" i="38" s="1"/>
  <c r="G63" i="38"/>
  <c r="H62" i="38"/>
  <c r="I62" i="38" s="1"/>
  <c r="J62" i="38" s="1"/>
  <c r="K62" i="38" s="1"/>
  <c r="L62" i="38" s="1"/>
  <c r="M62" i="38" s="1"/>
  <c r="G60" i="38"/>
  <c r="H59" i="38"/>
  <c r="I59" i="38" s="1"/>
  <c r="J59" i="38" s="1"/>
  <c r="K59" i="38" s="1"/>
  <c r="L59" i="38" s="1"/>
  <c r="M59" i="38" s="1"/>
  <c r="H58" i="38"/>
  <c r="I58" i="38" s="1"/>
  <c r="H57" i="38"/>
  <c r="H100" i="38" s="1"/>
  <c r="G57" i="38"/>
  <c r="G72" i="38" s="1"/>
  <c r="G77" i="38" s="1"/>
  <c r="H56" i="38"/>
  <c r="I56" i="38" s="1"/>
  <c r="J56" i="38" s="1"/>
  <c r="K56" i="38" s="1"/>
  <c r="L56" i="38" s="1"/>
  <c r="M56" i="38" s="1"/>
  <c r="I55" i="38"/>
  <c r="H55" i="38"/>
  <c r="H51" i="38"/>
  <c r="I51" i="38" s="1"/>
  <c r="J51" i="38" s="1"/>
  <c r="K51" i="38" s="1"/>
  <c r="L51" i="38" s="1"/>
  <c r="M51" i="38" s="1"/>
  <c r="G47" i="38"/>
  <c r="G45" i="38"/>
  <c r="H36" i="38"/>
  <c r="H113" i="38" s="1"/>
  <c r="G35" i="38"/>
  <c r="H34" i="38"/>
  <c r="I34" i="38" s="1"/>
  <c r="J34" i="38" s="1"/>
  <c r="K34" i="38" s="1"/>
  <c r="L34" i="38" s="1"/>
  <c r="M34" i="38" s="1"/>
  <c r="G29" i="38"/>
  <c r="H28" i="38"/>
  <c r="I27" i="38"/>
  <c r="J27" i="38" s="1"/>
  <c r="H27" i="38"/>
  <c r="H35" i="38" s="1"/>
  <c r="G26" i="38"/>
  <c r="G102" i="38" s="1"/>
  <c r="H25" i="38"/>
  <c r="I24" i="38"/>
  <c r="H24" i="38"/>
  <c r="H26" i="38" s="1"/>
  <c r="I18" i="38"/>
  <c r="J18" i="38" s="1"/>
  <c r="K18" i="38" s="1"/>
  <c r="L18" i="38" s="1"/>
  <c r="M18" i="38" s="1"/>
  <c r="H18" i="38"/>
  <c r="M8" i="38"/>
  <c r="M86" i="38" s="1"/>
  <c r="M170" i="38" s="1"/>
  <c r="L8" i="38"/>
  <c r="L86" i="38" s="1"/>
  <c r="L170" i="38" s="1"/>
  <c r="K8" i="38"/>
  <c r="K86" i="38" s="1"/>
  <c r="K170" i="38" s="1"/>
  <c r="J8" i="38"/>
  <c r="J86" i="38" s="1"/>
  <c r="J170" i="38" s="1"/>
  <c r="I8" i="38"/>
  <c r="I86" i="38" s="1"/>
  <c r="I170" i="38" s="1"/>
  <c r="H8" i="38"/>
  <c r="H86" i="38" s="1"/>
  <c r="H170" i="38" s="1"/>
  <c r="G8" i="38"/>
  <c r="G86" i="38" s="1"/>
  <c r="G170" i="38" s="1"/>
  <c r="C5" i="38"/>
  <c r="G269" i="37"/>
  <c r="H267" i="37"/>
  <c r="I267" i="37" s="1"/>
  <c r="J267" i="37" s="1"/>
  <c r="K267" i="37" s="1"/>
  <c r="L267" i="37" s="1"/>
  <c r="M267" i="37" s="1"/>
  <c r="H266" i="37"/>
  <c r="I266" i="37" s="1"/>
  <c r="G260" i="37"/>
  <c r="G273" i="37" s="1"/>
  <c r="G274" i="37" s="1"/>
  <c r="G258" i="37"/>
  <c r="G252" i="37"/>
  <c r="C241" i="37"/>
  <c r="G230" i="37"/>
  <c r="H228" i="37"/>
  <c r="I228" i="37" s="1"/>
  <c r="J228" i="37" s="1"/>
  <c r="K228" i="37" s="1"/>
  <c r="L228" i="37" s="1"/>
  <c r="M228" i="37" s="1"/>
  <c r="H227" i="37"/>
  <c r="I227" i="37" s="1"/>
  <c r="J227" i="37" s="1"/>
  <c r="K227" i="37" s="1"/>
  <c r="L227" i="37" s="1"/>
  <c r="M227" i="37" s="1"/>
  <c r="L226" i="37"/>
  <c r="M226" i="37" s="1"/>
  <c r="H226" i="37"/>
  <c r="I226" i="37" s="1"/>
  <c r="J226" i="37" s="1"/>
  <c r="K226" i="37" s="1"/>
  <c r="H225" i="37"/>
  <c r="I225" i="37" s="1"/>
  <c r="J225" i="37" s="1"/>
  <c r="K225" i="37" s="1"/>
  <c r="L225" i="37" s="1"/>
  <c r="M225" i="37" s="1"/>
  <c r="H224" i="37"/>
  <c r="I224" i="37" s="1"/>
  <c r="J224" i="37" s="1"/>
  <c r="K224" i="37" s="1"/>
  <c r="L224" i="37" s="1"/>
  <c r="M224" i="37" s="1"/>
  <c r="H223" i="37"/>
  <c r="G217" i="37"/>
  <c r="H215" i="37"/>
  <c r="I215" i="37" s="1"/>
  <c r="J215" i="37" s="1"/>
  <c r="K215" i="37" s="1"/>
  <c r="L215" i="37" s="1"/>
  <c r="M215" i="37" s="1"/>
  <c r="H214" i="37"/>
  <c r="I214" i="37" s="1"/>
  <c r="J214" i="37" s="1"/>
  <c r="K214" i="37" s="1"/>
  <c r="L214" i="37" s="1"/>
  <c r="M214" i="37" s="1"/>
  <c r="K213" i="37"/>
  <c r="L213" i="37" s="1"/>
  <c r="M213" i="37" s="1"/>
  <c r="H213" i="37"/>
  <c r="I213" i="37" s="1"/>
  <c r="J213" i="37" s="1"/>
  <c r="H212" i="37"/>
  <c r="I212" i="37" s="1"/>
  <c r="J212" i="37" s="1"/>
  <c r="K212" i="37" s="1"/>
  <c r="L212" i="37" s="1"/>
  <c r="M212" i="37" s="1"/>
  <c r="K211" i="37"/>
  <c r="L211" i="37" s="1"/>
  <c r="M211" i="37" s="1"/>
  <c r="I211" i="37"/>
  <c r="J211" i="37" s="1"/>
  <c r="H211" i="37"/>
  <c r="I210" i="37"/>
  <c r="J210" i="37" s="1"/>
  <c r="K210" i="37" s="1"/>
  <c r="L210" i="37" s="1"/>
  <c r="M210" i="37" s="1"/>
  <c r="H210" i="37"/>
  <c r="H209" i="37"/>
  <c r="I209" i="37" s="1"/>
  <c r="J209" i="37" s="1"/>
  <c r="K209" i="37" s="1"/>
  <c r="L209" i="37" s="1"/>
  <c r="M209" i="37" s="1"/>
  <c r="I208" i="37"/>
  <c r="J208" i="37" s="1"/>
  <c r="K208" i="37" s="1"/>
  <c r="L208" i="37" s="1"/>
  <c r="M208" i="37" s="1"/>
  <c r="H208" i="37"/>
  <c r="H207" i="37"/>
  <c r="I207" i="37" s="1"/>
  <c r="J207" i="37" s="1"/>
  <c r="K207" i="37" s="1"/>
  <c r="L207" i="37" s="1"/>
  <c r="M207" i="37" s="1"/>
  <c r="I206" i="37"/>
  <c r="H206" i="37"/>
  <c r="H217" i="37" s="1"/>
  <c r="H256" i="37" s="1"/>
  <c r="G200" i="37"/>
  <c r="J198" i="37"/>
  <c r="K198" i="37" s="1"/>
  <c r="L198" i="37" s="1"/>
  <c r="M198" i="37" s="1"/>
  <c r="H198" i="37"/>
  <c r="I198" i="37" s="1"/>
  <c r="H197" i="37"/>
  <c r="I197" i="37" s="1"/>
  <c r="J197" i="37" s="1"/>
  <c r="K197" i="37" s="1"/>
  <c r="L197" i="37" s="1"/>
  <c r="M197" i="37" s="1"/>
  <c r="H196" i="37"/>
  <c r="I196" i="37" s="1"/>
  <c r="J196" i="37" s="1"/>
  <c r="K196" i="37" s="1"/>
  <c r="L196" i="37" s="1"/>
  <c r="M196" i="37" s="1"/>
  <c r="H195" i="37"/>
  <c r="G187" i="37"/>
  <c r="H186" i="37"/>
  <c r="I186" i="37" s="1"/>
  <c r="J186" i="37" s="1"/>
  <c r="K186" i="37" s="1"/>
  <c r="L186" i="37" s="1"/>
  <c r="M186" i="37" s="1"/>
  <c r="L185" i="37"/>
  <c r="M185" i="37" s="1"/>
  <c r="H185" i="37"/>
  <c r="I185" i="37" s="1"/>
  <c r="J185" i="37" s="1"/>
  <c r="K185" i="37" s="1"/>
  <c r="H184" i="37"/>
  <c r="I184" i="37" s="1"/>
  <c r="J184" i="37" s="1"/>
  <c r="K184" i="37" s="1"/>
  <c r="L184" i="37" s="1"/>
  <c r="M184" i="37" s="1"/>
  <c r="H183" i="37"/>
  <c r="I183" i="37" s="1"/>
  <c r="J183" i="37" s="1"/>
  <c r="K183" i="37" s="1"/>
  <c r="L183" i="37" s="1"/>
  <c r="M183" i="37" s="1"/>
  <c r="H182" i="37"/>
  <c r="I182" i="37" s="1"/>
  <c r="G180" i="37"/>
  <c r="H179" i="37"/>
  <c r="I179" i="37" s="1"/>
  <c r="J179" i="37" s="1"/>
  <c r="K179" i="37" s="1"/>
  <c r="L179" i="37" s="1"/>
  <c r="M179" i="37" s="1"/>
  <c r="H178" i="37"/>
  <c r="I178" i="37" s="1"/>
  <c r="J178" i="37" s="1"/>
  <c r="K178" i="37" s="1"/>
  <c r="L178" i="37" s="1"/>
  <c r="M178" i="37" s="1"/>
  <c r="H177" i="37"/>
  <c r="I177" i="37" s="1"/>
  <c r="G164" i="37"/>
  <c r="H162" i="37"/>
  <c r="I162" i="37" s="1"/>
  <c r="J162" i="37" s="1"/>
  <c r="K162" i="37" s="1"/>
  <c r="L162" i="37" s="1"/>
  <c r="M162" i="37" s="1"/>
  <c r="H161" i="37"/>
  <c r="I161" i="37" s="1"/>
  <c r="J161" i="37" s="1"/>
  <c r="K161" i="37" s="1"/>
  <c r="L161" i="37" s="1"/>
  <c r="M161" i="37" s="1"/>
  <c r="H160" i="37"/>
  <c r="I160" i="37" s="1"/>
  <c r="J160" i="37" s="1"/>
  <c r="K160" i="37" s="1"/>
  <c r="L160" i="37" s="1"/>
  <c r="M160" i="37" s="1"/>
  <c r="H159" i="37"/>
  <c r="I159" i="37" s="1"/>
  <c r="J159" i="37" s="1"/>
  <c r="K159" i="37" s="1"/>
  <c r="L159" i="37" s="1"/>
  <c r="M159" i="37" s="1"/>
  <c r="H158" i="37"/>
  <c r="H164" i="37" s="1"/>
  <c r="G152" i="37"/>
  <c r="H150" i="37"/>
  <c r="I150" i="37" s="1"/>
  <c r="J150" i="37" s="1"/>
  <c r="K150" i="37" s="1"/>
  <c r="L150" i="37" s="1"/>
  <c r="M150" i="37" s="1"/>
  <c r="H149" i="37"/>
  <c r="I149" i="37" s="1"/>
  <c r="J149" i="37" s="1"/>
  <c r="K149" i="37" s="1"/>
  <c r="L149" i="37" s="1"/>
  <c r="M149" i="37" s="1"/>
  <c r="I148" i="37"/>
  <c r="J148" i="37" s="1"/>
  <c r="K148" i="37" s="1"/>
  <c r="L148" i="37" s="1"/>
  <c r="M148" i="37" s="1"/>
  <c r="H148" i="37"/>
  <c r="H147" i="37"/>
  <c r="I147" i="37" s="1"/>
  <c r="J147" i="37" s="1"/>
  <c r="K147" i="37" s="1"/>
  <c r="L147" i="37" s="1"/>
  <c r="M147" i="37" s="1"/>
  <c r="H146" i="37"/>
  <c r="G136" i="37"/>
  <c r="H135" i="37"/>
  <c r="I135" i="37" s="1"/>
  <c r="J135" i="37" s="1"/>
  <c r="K135" i="37" s="1"/>
  <c r="L135" i="37" s="1"/>
  <c r="M135" i="37" s="1"/>
  <c r="K134" i="37"/>
  <c r="L134" i="37" s="1"/>
  <c r="M134" i="37" s="1"/>
  <c r="I134" i="37"/>
  <c r="J134" i="37" s="1"/>
  <c r="H134" i="37"/>
  <c r="K133" i="37"/>
  <c r="L133" i="37" s="1"/>
  <c r="M133" i="37" s="1"/>
  <c r="I133" i="37"/>
  <c r="J133" i="37" s="1"/>
  <c r="H133" i="37"/>
  <c r="K132" i="37"/>
  <c r="L132" i="37" s="1"/>
  <c r="M132" i="37" s="1"/>
  <c r="I132" i="37"/>
  <c r="J132" i="37" s="1"/>
  <c r="H132" i="37"/>
  <c r="H131" i="37"/>
  <c r="H136" i="37" s="1"/>
  <c r="G129" i="37"/>
  <c r="G138" i="37" s="1"/>
  <c r="H128" i="37"/>
  <c r="I128" i="37" s="1"/>
  <c r="J128" i="37" s="1"/>
  <c r="K128" i="37" s="1"/>
  <c r="L128" i="37" s="1"/>
  <c r="M128" i="37" s="1"/>
  <c r="H127" i="37"/>
  <c r="I127" i="37" s="1"/>
  <c r="J127" i="37" s="1"/>
  <c r="K127" i="37" s="1"/>
  <c r="L127" i="37" s="1"/>
  <c r="M127" i="37" s="1"/>
  <c r="H126" i="37"/>
  <c r="I126" i="37" s="1"/>
  <c r="J126" i="37" s="1"/>
  <c r="K126" i="37" s="1"/>
  <c r="L126" i="37" s="1"/>
  <c r="M126" i="37" s="1"/>
  <c r="H125" i="37"/>
  <c r="I125" i="37" s="1"/>
  <c r="J125" i="37" s="1"/>
  <c r="K125" i="37" s="1"/>
  <c r="L125" i="37" s="1"/>
  <c r="M125" i="37" s="1"/>
  <c r="H124" i="37"/>
  <c r="H120" i="37"/>
  <c r="I120" i="37" s="1"/>
  <c r="J120" i="37" s="1"/>
  <c r="K120" i="37" s="1"/>
  <c r="L120" i="37" s="1"/>
  <c r="M120" i="37" s="1"/>
  <c r="H119" i="37"/>
  <c r="I119" i="37" s="1"/>
  <c r="J119" i="37" s="1"/>
  <c r="K119" i="37" s="1"/>
  <c r="L119" i="37" s="1"/>
  <c r="M119" i="37" s="1"/>
  <c r="L118" i="37"/>
  <c r="M118" i="37" s="1"/>
  <c r="J118" i="37"/>
  <c r="K118" i="37" s="1"/>
  <c r="H118" i="37"/>
  <c r="I118" i="37" s="1"/>
  <c r="H117" i="37"/>
  <c r="I117" i="37" s="1"/>
  <c r="J117" i="37" s="1"/>
  <c r="K117" i="37" s="1"/>
  <c r="L117" i="37" s="1"/>
  <c r="M117" i="37" s="1"/>
  <c r="G113" i="37"/>
  <c r="C85" i="37"/>
  <c r="D77" i="37"/>
  <c r="D76" i="37"/>
  <c r="D72" i="37"/>
  <c r="D71" i="37"/>
  <c r="G63" i="37"/>
  <c r="H62" i="37"/>
  <c r="I62" i="37" s="1"/>
  <c r="J62" i="37" s="1"/>
  <c r="K62" i="37" s="1"/>
  <c r="L62" i="37" s="1"/>
  <c r="M62" i="37" s="1"/>
  <c r="G60" i="37"/>
  <c r="H59" i="37"/>
  <c r="I59" i="37" s="1"/>
  <c r="J59" i="37" s="1"/>
  <c r="K59" i="37" s="1"/>
  <c r="L59" i="37" s="1"/>
  <c r="M59" i="37" s="1"/>
  <c r="I58" i="37"/>
  <c r="J58" i="37" s="1"/>
  <c r="H58" i="37"/>
  <c r="H60" i="37" s="1"/>
  <c r="G57" i="37"/>
  <c r="G47" i="37" s="1"/>
  <c r="H56" i="37"/>
  <c r="I56" i="37" s="1"/>
  <c r="J56" i="37" s="1"/>
  <c r="K56" i="37" s="1"/>
  <c r="L56" i="37" s="1"/>
  <c r="M56" i="37" s="1"/>
  <c r="H55" i="37"/>
  <c r="I55" i="37" s="1"/>
  <c r="H51" i="37"/>
  <c r="I51" i="37" s="1"/>
  <c r="J51" i="37" s="1"/>
  <c r="K51" i="37" s="1"/>
  <c r="L51" i="37" s="1"/>
  <c r="M51" i="37" s="1"/>
  <c r="H36" i="37"/>
  <c r="H113" i="37" s="1"/>
  <c r="G35" i="37"/>
  <c r="H34" i="37"/>
  <c r="I34" i="37" s="1"/>
  <c r="J34" i="37" s="1"/>
  <c r="K34" i="37" s="1"/>
  <c r="L34" i="37" s="1"/>
  <c r="M34" i="37" s="1"/>
  <c r="G29" i="37"/>
  <c r="H28" i="37"/>
  <c r="I28" i="37" s="1"/>
  <c r="J28" i="37" s="1"/>
  <c r="K28" i="37" s="1"/>
  <c r="L28" i="37" s="1"/>
  <c r="M28" i="37" s="1"/>
  <c r="H27" i="37"/>
  <c r="H35" i="37" s="1"/>
  <c r="G26" i="37"/>
  <c r="G95" i="37" s="1"/>
  <c r="H25" i="37"/>
  <c r="I25" i="37" s="1"/>
  <c r="H24" i="37"/>
  <c r="I18" i="37"/>
  <c r="J18" i="37" s="1"/>
  <c r="K18" i="37" s="1"/>
  <c r="L18" i="37" s="1"/>
  <c r="M18" i="37" s="1"/>
  <c r="H18" i="37"/>
  <c r="M8" i="37"/>
  <c r="M86" i="37" s="1"/>
  <c r="M170" i="37" s="1"/>
  <c r="L8" i="37"/>
  <c r="L86" i="37" s="1"/>
  <c r="L170" i="37" s="1"/>
  <c r="K8" i="37"/>
  <c r="K86" i="37" s="1"/>
  <c r="K170" i="37" s="1"/>
  <c r="J8" i="37"/>
  <c r="J86" i="37" s="1"/>
  <c r="J170" i="37" s="1"/>
  <c r="I8" i="37"/>
  <c r="I86" i="37" s="1"/>
  <c r="I170" i="37" s="1"/>
  <c r="H8" i="37"/>
  <c r="H86" i="37" s="1"/>
  <c r="H170" i="37" s="1"/>
  <c r="G8" i="37"/>
  <c r="G86" i="37" s="1"/>
  <c r="G170" i="37" s="1"/>
  <c r="C5" i="37"/>
  <c r="G269" i="36"/>
  <c r="J267" i="36"/>
  <c r="K267" i="36" s="1"/>
  <c r="L267" i="36" s="1"/>
  <c r="M267" i="36" s="1"/>
  <c r="H267" i="36"/>
  <c r="I267" i="36" s="1"/>
  <c r="H266" i="36"/>
  <c r="H269" i="36" s="1"/>
  <c r="G260" i="36"/>
  <c r="G258" i="36"/>
  <c r="G252" i="36"/>
  <c r="C241" i="36"/>
  <c r="G230" i="36"/>
  <c r="H228" i="36"/>
  <c r="I228" i="36" s="1"/>
  <c r="J228" i="36" s="1"/>
  <c r="K228" i="36" s="1"/>
  <c r="L228" i="36" s="1"/>
  <c r="M228" i="36" s="1"/>
  <c r="H227" i="36"/>
  <c r="I227" i="36" s="1"/>
  <c r="J227" i="36" s="1"/>
  <c r="K227" i="36" s="1"/>
  <c r="L227" i="36" s="1"/>
  <c r="M227" i="36" s="1"/>
  <c r="H226" i="36"/>
  <c r="I226" i="36" s="1"/>
  <c r="J226" i="36" s="1"/>
  <c r="K226" i="36" s="1"/>
  <c r="L226" i="36" s="1"/>
  <c r="M226" i="36" s="1"/>
  <c r="H225" i="36"/>
  <c r="I225" i="36" s="1"/>
  <c r="J225" i="36" s="1"/>
  <c r="K225" i="36" s="1"/>
  <c r="L225" i="36" s="1"/>
  <c r="M225" i="36" s="1"/>
  <c r="H224" i="36"/>
  <c r="H223" i="36"/>
  <c r="I223" i="36" s="1"/>
  <c r="G217" i="36"/>
  <c r="H215" i="36"/>
  <c r="I215" i="36" s="1"/>
  <c r="J215" i="36" s="1"/>
  <c r="K215" i="36" s="1"/>
  <c r="L215" i="36" s="1"/>
  <c r="M215" i="36" s="1"/>
  <c r="H214" i="36"/>
  <c r="I214" i="36" s="1"/>
  <c r="J214" i="36" s="1"/>
  <c r="K214" i="36" s="1"/>
  <c r="L214" i="36" s="1"/>
  <c r="M214" i="36" s="1"/>
  <c r="H213" i="36"/>
  <c r="I213" i="36" s="1"/>
  <c r="J213" i="36" s="1"/>
  <c r="K213" i="36" s="1"/>
  <c r="L213" i="36" s="1"/>
  <c r="M213" i="36" s="1"/>
  <c r="H212" i="36"/>
  <c r="I212" i="36" s="1"/>
  <c r="J212" i="36" s="1"/>
  <c r="K212" i="36" s="1"/>
  <c r="L212" i="36" s="1"/>
  <c r="M212" i="36" s="1"/>
  <c r="H211" i="36"/>
  <c r="I211" i="36" s="1"/>
  <c r="J211" i="36" s="1"/>
  <c r="K211" i="36" s="1"/>
  <c r="L211" i="36" s="1"/>
  <c r="M211" i="36" s="1"/>
  <c r="I210" i="36"/>
  <c r="J210" i="36" s="1"/>
  <c r="K210" i="36" s="1"/>
  <c r="L210" i="36" s="1"/>
  <c r="M210" i="36" s="1"/>
  <c r="H210" i="36"/>
  <c r="H209" i="36"/>
  <c r="I209" i="36" s="1"/>
  <c r="J209" i="36" s="1"/>
  <c r="K209" i="36" s="1"/>
  <c r="L209" i="36" s="1"/>
  <c r="M209" i="36" s="1"/>
  <c r="I208" i="36"/>
  <c r="J208" i="36" s="1"/>
  <c r="K208" i="36" s="1"/>
  <c r="L208" i="36" s="1"/>
  <c r="M208" i="36" s="1"/>
  <c r="H208" i="36"/>
  <c r="H207" i="36"/>
  <c r="I207" i="36" s="1"/>
  <c r="J207" i="36" s="1"/>
  <c r="K207" i="36" s="1"/>
  <c r="L207" i="36" s="1"/>
  <c r="M207" i="36" s="1"/>
  <c r="H206" i="36"/>
  <c r="I206" i="36" s="1"/>
  <c r="G200" i="36"/>
  <c r="H198" i="36"/>
  <c r="I198" i="36" s="1"/>
  <c r="J198" i="36" s="1"/>
  <c r="K198" i="36" s="1"/>
  <c r="L198" i="36" s="1"/>
  <c r="M198" i="36" s="1"/>
  <c r="K197" i="36"/>
  <c r="L197" i="36" s="1"/>
  <c r="M197" i="36" s="1"/>
  <c r="H197" i="36"/>
  <c r="I197" i="36" s="1"/>
  <c r="J197" i="36" s="1"/>
  <c r="H196" i="36"/>
  <c r="I196" i="36" s="1"/>
  <c r="J196" i="36" s="1"/>
  <c r="K196" i="36" s="1"/>
  <c r="L196" i="36" s="1"/>
  <c r="M196" i="36" s="1"/>
  <c r="H195" i="36"/>
  <c r="G187" i="36"/>
  <c r="H186" i="36"/>
  <c r="I186" i="36" s="1"/>
  <c r="J186" i="36" s="1"/>
  <c r="K186" i="36" s="1"/>
  <c r="L186" i="36" s="1"/>
  <c r="M186" i="36" s="1"/>
  <c r="H185" i="36"/>
  <c r="I185" i="36" s="1"/>
  <c r="J185" i="36" s="1"/>
  <c r="K185" i="36" s="1"/>
  <c r="L185" i="36" s="1"/>
  <c r="M185" i="36" s="1"/>
  <c r="H184" i="36"/>
  <c r="I184" i="36" s="1"/>
  <c r="J184" i="36" s="1"/>
  <c r="K184" i="36" s="1"/>
  <c r="L184" i="36" s="1"/>
  <c r="M184" i="36" s="1"/>
  <c r="H183" i="36"/>
  <c r="I183" i="36" s="1"/>
  <c r="J183" i="36" s="1"/>
  <c r="K183" i="36" s="1"/>
  <c r="L183" i="36" s="1"/>
  <c r="M183" i="36" s="1"/>
  <c r="H182" i="36"/>
  <c r="I182" i="36" s="1"/>
  <c r="G180" i="36"/>
  <c r="G189" i="36" s="1"/>
  <c r="H179" i="36"/>
  <c r="I179" i="36" s="1"/>
  <c r="J179" i="36" s="1"/>
  <c r="K179" i="36" s="1"/>
  <c r="L179" i="36" s="1"/>
  <c r="M179" i="36" s="1"/>
  <c r="H178" i="36"/>
  <c r="I178" i="36" s="1"/>
  <c r="J178" i="36" s="1"/>
  <c r="K178" i="36" s="1"/>
  <c r="L178" i="36" s="1"/>
  <c r="M178" i="36" s="1"/>
  <c r="H177" i="36"/>
  <c r="I177" i="36" s="1"/>
  <c r="J177" i="36" s="1"/>
  <c r="G164" i="36"/>
  <c r="K162" i="36"/>
  <c r="L162" i="36" s="1"/>
  <c r="M162" i="36" s="1"/>
  <c r="H162" i="36"/>
  <c r="I162" i="36" s="1"/>
  <c r="J162" i="36" s="1"/>
  <c r="H161" i="36"/>
  <c r="I161" i="36" s="1"/>
  <c r="J161" i="36" s="1"/>
  <c r="K161" i="36" s="1"/>
  <c r="L161" i="36" s="1"/>
  <c r="M161" i="36" s="1"/>
  <c r="H160" i="36"/>
  <c r="I160" i="36" s="1"/>
  <c r="J160" i="36" s="1"/>
  <c r="K160" i="36" s="1"/>
  <c r="L160" i="36" s="1"/>
  <c r="M160" i="36" s="1"/>
  <c r="I159" i="36"/>
  <c r="J159" i="36" s="1"/>
  <c r="K159" i="36" s="1"/>
  <c r="L159" i="36" s="1"/>
  <c r="M159" i="36" s="1"/>
  <c r="H159" i="36"/>
  <c r="H158" i="36"/>
  <c r="I158" i="36" s="1"/>
  <c r="G152" i="36"/>
  <c r="H150" i="36"/>
  <c r="I150" i="36" s="1"/>
  <c r="J150" i="36" s="1"/>
  <c r="K150" i="36" s="1"/>
  <c r="L150" i="36" s="1"/>
  <c r="M150" i="36" s="1"/>
  <c r="H149" i="36"/>
  <c r="I149" i="36" s="1"/>
  <c r="J149" i="36" s="1"/>
  <c r="K149" i="36" s="1"/>
  <c r="L149" i="36" s="1"/>
  <c r="M149" i="36" s="1"/>
  <c r="H148" i="36"/>
  <c r="I148" i="36" s="1"/>
  <c r="J148" i="36" s="1"/>
  <c r="K148" i="36" s="1"/>
  <c r="L148" i="36" s="1"/>
  <c r="M148" i="36" s="1"/>
  <c r="H147" i="36"/>
  <c r="I147" i="36" s="1"/>
  <c r="J147" i="36" s="1"/>
  <c r="K147" i="36" s="1"/>
  <c r="L147" i="36" s="1"/>
  <c r="M147" i="36" s="1"/>
  <c r="H146" i="36"/>
  <c r="G136" i="36"/>
  <c r="H135" i="36"/>
  <c r="I135" i="36" s="1"/>
  <c r="J135" i="36" s="1"/>
  <c r="K135" i="36" s="1"/>
  <c r="L135" i="36" s="1"/>
  <c r="M135" i="36" s="1"/>
  <c r="H134" i="36"/>
  <c r="I134" i="36" s="1"/>
  <c r="J134" i="36" s="1"/>
  <c r="K134" i="36" s="1"/>
  <c r="L134" i="36" s="1"/>
  <c r="M134" i="36" s="1"/>
  <c r="I133" i="36"/>
  <c r="J133" i="36" s="1"/>
  <c r="K133" i="36" s="1"/>
  <c r="L133" i="36" s="1"/>
  <c r="M133" i="36" s="1"/>
  <c r="H133" i="36"/>
  <c r="H132" i="36"/>
  <c r="I132" i="36" s="1"/>
  <c r="J132" i="36" s="1"/>
  <c r="K132" i="36" s="1"/>
  <c r="L132" i="36" s="1"/>
  <c r="M132" i="36" s="1"/>
  <c r="H131" i="36"/>
  <c r="I131" i="36" s="1"/>
  <c r="J131" i="36" s="1"/>
  <c r="G129" i="36"/>
  <c r="G138" i="36" s="1"/>
  <c r="H128" i="36"/>
  <c r="I128" i="36" s="1"/>
  <c r="J128" i="36" s="1"/>
  <c r="K128" i="36" s="1"/>
  <c r="L128" i="36" s="1"/>
  <c r="M128" i="36" s="1"/>
  <c r="H127" i="36"/>
  <c r="I127" i="36" s="1"/>
  <c r="J127" i="36" s="1"/>
  <c r="K127" i="36" s="1"/>
  <c r="L127" i="36" s="1"/>
  <c r="M127" i="36" s="1"/>
  <c r="H126" i="36"/>
  <c r="I126" i="36" s="1"/>
  <c r="J126" i="36" s="1"/>
  <c r="K126" i="36" s="1"/>
  <c r="L126" i="36" s="1"/>
  <c r="M126" i="36" s="1"/>
  <c r="H125" i="36"/>
  <c r="H124" i="36"/>
  <c r="I124" i="36" s="1"/>
  <c r="H120" i="36"/>
  <c r="I120" i="36" s="1"/>
  <c r="J120" i="36" s="1"/>
  <c r="K120" i="36" s="1"/>
  <c r="L120" i="36" s="1"/>
  <c r="M120" i="36" s="1"/>
  <c r="I119" i="36"/>
  <c r="J119" i="36" s="1"/>
  <c r="K119" i="36" s="1"/>
  <c r="L119" i="36" s="1"/>
  <c r="M119" i="36" s="1"/>
  <c r="H119" i="36"/>
  <c r="H118" i="36"/>
  <c r="I118" i="36" s="1"/>
  <c r="J118" i="36" s="1"/>
  <c r="K118" i="36" s="1"/>
  <c r="L118" i="36" s="1"/>
  <c r="M118" i="36" s="1"/>
  <c r="H117" i="36"/>
  <c r="I117" i="36" s="1"/>
  <c r="J117" i="36" s="1"/>
  <c r="K117" i="36" s="1"/>
  <c r="L117" i="36" s="1"/>
  <c r="M117" i="36" s="1"/>
  <c r="G113" i="36"/>
  <c r="G100" i="36"/>
  <c r="C85" i="36"/>
  <c r="D72" i="36"/>
  <c r="D77" i="36" s="1"/>
  <c r="D71" i="36"/>
  <c r="D76" i="36" s="1"/>
  <c r="G63" i="36"/>
  <c r="H62" i="36"/>
  <c r="I62" i="36" s="1"/>
  <c r="J62" i="36" s="1"/>
  <c r="K62" i="36" s="1"/>
  <c r="L62" i="36" s="1"/>
  <c r="M62" i="36" s="1"/>
  <c r="G60" i="36"/>
  <c r="G64" i="36" s="1"/>
  <c r="G61" i="36" s="1"/>
  <c r="H59" i="36"/>
  <c r="I59" i="36" s="1"/>
  <c r="H58" i="36"/>
  <c r="H60" i="36" s="1"/>
  <c r="G57" i="36"/>
  <c r="G47" i="36" s="1"/>
  <c r="H56" i="36"/>
  <c r="I56" i="36" s="1"/>
  <c r="J56" i="36" s="1"/>
  <c r="K56" i="36" s="1"/>
  <c r="L56" i="36" s="1"/>
  <c r="M56" i="36" s="1"/>
  <c r="H55" i="36"/>
  <c r="I55" i="36" s="1"/>
  <c r="I51" i="36"/>
  <c r="J51" i="36" s="1"/>
  <c r="K51" i="36" s="1"/>
  <c r="L51" i="36" s="1"/>
  <c r="M51" i="36" s="1"/>
  <c r="H51" i="36"/>
  <c r="G45" i="36"/>
  <c r="H36" i="36"/>
  <c r="I36" i="36" s="1"/>
  <c r="G35" i="36"/>
  <c r="H34" i="36"/>
  <c r="I34" i="36" s="1"/>
  <c r="J34" i="36" s="1"/>
  <c r="K34" i="36" s="1"/>
  <c r="L34" i="36" s="1"/>
  <c r="M34" i="36" s="1"/>
  <c r="G29" i="36"/>
  <c r="J28" i="36"/>
  <c r="K28" i="36" s="1"/>
  <c r="L28" i="36" s="1"/>
  <c r="M28" i="36" s="1"/>
  <c r="H28" i="36"/>
  <c r="I28" i="36" s="1"/>
  <c r="H27" i="36"/>
  <c r="H26" i="36"/>
  <c r="H104" i="36" s="1"/>
  <c r="G26" i="36"/>
  <c r="G104" i="36" s="1"/>
  <c r="I25" i="36"/>
  <c r="J25" i="36" s="1"/>
  <c r="H25" i="36"/>
  <c r="I24" i="36"/>
  <c r="H24" i="36"/>
  <c r="H18" i="36"/>
  <c r="I18" i="36" s="1"/>
  <c r="J18" i="36" s="1"/>
  <c r="K18" i="36" s="1"/>
  <c r="L18" i="36" s="1"/>
  <c r="M18" i="36" s="1"/>
  <c r="M8" i="36"/>
  <c r="M86" i="36" s="1"/>
  <c r="M170" i="36" s="1"/>
  <c r="L8" i="36"/>
  <c r="L86" i="36" s="1"/>
  <c r="L170" i="36" s="1"/>
  <c r="K8" i="36"/>
  <c r="K86" i="36" s="1"/>
  <c r="K170" i="36" s="1"/>
  <c r="J8" i="36"/>
  <c r="J86" i="36" s="1"/>
  <c r="J170" i="36" s="1"/>
  <c r="I8" i="36"/>
  <c r="I86" i="36" s="1"/>
  <c r="I170" i="36" s="1"/>
  <c r="H8" i="36"/>
  <c r="H86" i="36" s="1"/>
  <c r="H170" i="36" s="1"/>
  <c r="G8" i="36"/>
  <c r="G86" i="36" s="1"/>
  <c r="G170" i="36" s="1"/>
  <c r="C5" i="36"/>
  <c r="M8" i="3"/>
  <c r="M86" i="3"/>
  <c r="M170" i="3" s="1"/>
  <c r="D35" i="60"/>
  <c r="C35" i="60"/>
  <c r="D31" i="60"/>
  <c r="D30" i="60"/>
  <c r="D29" i="60"/>
  <c r="C31" i="60"/>
  <c r="C30" i="60"/>
  <c r="C29" i="60"/>
  <c r="D26" i="60"/>
  <c r="D25" i="60"/>
  <c r="D24" i="60"/>
  <c r="D23" i="60"/>
  <c r="D22" i="60"/>
  <c r="D21" i="60"/>
  <c r="D20" i="60"/>
  <c r="D19" i="60"/>
  <c r="D18" i="60"/>
  <c r="D17" i="60"/>
  <c r="D16" i="60"/>
  <c r="D15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32" i="60"/>
  <c r="K11" i="60"/>
  <c r="K12" i="60" s="1"/>
  <c r="K13" i="60" s="1"/>
  <c r="K14" i="60" s="1"/>
  <c r="K15" i="60" s="1"/>
  <c r="K16" i="60" s="1"/>
  <c r="K17" i="60" s="1"/>
  <c r="K18" i="60" s="1"/>
  <c r="K19" i="60" s="1"/>
  <c r="K20" i="60" s="1"/>
  <c r="K21" i="60" s="1"/>
  <c r="K22" i="60" s="1"/>
  <c r="K23" i="60" s="1"/>
  <c r="K24" i="60" s="1"/>
  <c r="K25" i="60" s="1"/>
  <c r="K26" i="60" s="1"/>
  <c r="K27" i="60" s="1"/>
  <c r="K28" i="60" s="1"/>
  <c r="K29" i="60" s="1"/>
  <c r="K30" i="60" s="1"/>
  <c r="K31" i="60" s="1"/>
  <c r="K32" i="60" s="1"/>
  <c r="K33" i="60" s="1"/>
  <c r="K34" i="60" s="1"/>
  <c r="K35" i="60" s="1"/>
  <c r="K36" i="60" s="1"/>
  <c r="K37" i="60" s="1"/>
  <c r="K38" i="60" s="1"/>
  <c r="K39" i="60" s="1"/>
  <c r="K40" i="60" s="1"/>
  <c r="K41" i="60" s="1"/>
  <c r="K42" i="60" s="1"/>
  <c r="K43" i="60" s="1"/>
  <c r="K44" i="60" s="1"/>
  <c r="K45" i="60" s="1"/>
  <c r="K46" i="60" s="1"/>
  <c r="K47" i="60" s="1"/>
  <c r="K48" i="60" s="1"/>
  <c r="K49" i="60" s="1"/>
  <c r="K50" i="60" s="1"/>
  <c r="K51" i="60" s="1"/>
  <c r="K52" i="60" s="1"/>
  <c r="K53" i="60" s="1"/>
  <c r="I10" i="60"/>
  <c r="I11" i="60" s="1"/>
  <c r="J9" i="60"/>
  <c r="J8" i="60"/>
  <c r="J7" i="60"/>
  <c r="J6" i="60"/>
  <c r="I60" i="38" l="1"/>
  <c r="J58" i="38"/>
  <c r="H63" i="36"/>
  <c r="H35" i="36"/>
  <c r="H29" i="36"/>
  <c r="I58" i="36"/>
  <c r="J58" i="36" s="1"/>
  <c r="H102" i="36"/>
  <c r="G64" i="37"/>
  <c r="G61" i="37" s="1"/>
  <c r="H63" i="37"/>
  <c r="I131" i="37"/>
  <c r="G234" i="37"/>
  <c r="H269" i="37"/>
  <c r="I36" i="38"/>
  <c r="I131" i="38"/>
  <c r="J131" i="38" s="1"/>
  <c r="I146" i="38"/>
  <c r="I179" i="38"/>
  <c r="J179" i="38" s="1"/>
  <c r="K179" i="38" s="1"/>
  <c r="L179" i="38" s="1"/>
  <c r="M179" i="38" s="1"/>
  <c r="I213" i="38"/>
  <c r="J213" i="38" s="1"/>
  <c r="K213" i="38" s="1"/>
  <c r="L213" i="38" s="1"/>
  <c r="M213" i="38" s="1"/>
  <c r="H230" i="38"/>
  <c r="H257" i="38" s="1"/>
  <c r="I27" i="39"/>
  <c r="G100" i="39"/>
  <c r="G72" i="39"/>
  <c r="G77" i="39" s="1"/>
  <c r="H217" i="39"/>
  <c r="H256" i="39" s="1"/>
  <c r="H217" i="44"/>
  <c r="H256" i="44" s="1"/>
  <c r="H63" i="43"/>
  <c r="H60" i="43"/>
  <c r="I58" i="43"/>
  <c r="H113" i="47"/>
  <c r="I36" i="47"/>
  <c r="I26" i="41"/>
  <c r="J24" i="41"/>
  <c r="H108" i="41"/>
  <c r="H152" i="41"/>
  <c r="I146" i="41"/>
  <c r="J146" i="41" s="1"/>
  <c r="H63" i="50"/>
  <c r="I58" i="50"/>
  <c r="J58" i="50" s="1"/>
  <c r="H60" i="71"/>
  <c r="I58" i="71"/>
  <c r="D12" i="60"/>
  <c r="D32" i="60"/>
  <c r="L8" i="61"/>
  <c r="L87" i="61" s="1"/>
  <c r="L15" i="1"/>
  <c r="H32" i="36"/>
  <c r="H112" i="36" s="1"/>
  <c r="H164" i="36"/>
  <c r="I266" i="36"/>
  <c r="H180" i="37"/>
  <c r="I25" i="38"/>
  <c r="J25" i="38" s="1"/>
  <c r="K25" i="38" s="1"/>
  <c r="H29" i="38"/>
  <c r="H29" i="39"/>
  <c r="G45" i="39"/>
  <c r="G46" i="39" s="1"/>
  <c r="G48" i="39"/>
  <c r="I55" i="39"/>
  <c r="G273" i="39"/>
  <c r="G274" i="39" s="1"/>
  <c r="H269" i="39"/>
  <c r="H35" i="40"/>
  <c r="H57" i="40"/>
  <c r="G234" i="40"/>
  <c r="H230" i="40"/>
  <c r="H257" i="40" s="1"/>
  <c r="I224" i="40"/>
  <c r="J224" i="40" s="1"/>
  <c r="K224" i="40" s="1"/>
  <c r="L224" i="40" s="1"/>
  <c r="M224" i="40" s="1"/>
  <c r="H269" i="42"/>
  <c r="G116" i="44"/>
  <c r="G121" i="44" s="1"/>
  <c r="G102" i="44"/>
  <c r="G97" i="44"/>
  <c r="G32" i="44"/>
  <c r="G112" i="44" s="1"/>
  <c r="G105" i="44"/>
  <c r="G104" i="44"/>
  <c r="G260" i="44"/>
  <c r="H136" i="43"/>
  <c r="H29" i="50"/>
  <c r="H269" i="49"/>
  <c r="I267" i="49"/>
  <c r="J267" i="49" s="1"/>
  <c r="K267" i="49" s="1"/>
  <c r="L267" i="49" s="1"/>
  <c r="M267" i="49" s="1"/>
  <c r="I125" i="47"/>
  <c r="J125" i="47" s="1"/>
  <c r="K125" i="47" s="1"/>
  <c r="L125" i="47" s="1"/>
  <c r="M125" i="47" s="1"/>
  <c r="H129" i="47"/>
  <c r="I125" i="46"/>
  <c r="H129" i="46"/>
  <c r="H35" i="45"/>
  <c r="I28" i="45"/>
  <c r="J28" i="45" s="1"/>
  <c r="K28" i="45" s="1"/>
  <c r="L28" i="45" s="1"/>
  <c r="M28" i="45" s="1"/>
  <c r="H29" i="45"/>
  <c r="H187" i="36"/>
  <c r="H47" i="38"/>
  <c r="G46" i="43"/>
  <c r="I57" i="45"/>
  <c r="I47" i="45" s="1"/>
  <c r="J55" i="45"/>
  <c r="C27" i="60"/>
  <c r="C33" i="60" s="1"/>
  <c r="D27" i="60"/>
  <c r="D33" i="60" s="1"/>
  <c r="H57" i="36"/>
  <c r="H64" i="36" s="1"/>
  <c r="H61" i="36" s="1"/>
  <c r="H105" i="36"/>
  <c r="H180" i="36"/>
  <c r="H189" i="36" s="1"/>
  <c r="H190" i="36" s="1"/>
  <c r="H254" i="36" s="1"/>
  <c r="H230" i="37"/>
  <c r="H257" i="37" s="1"/>
  <c r="I57" i="40"/>
  <c r="H217" i="41"/>
  <c r="H256" i="41" s="1"/>
  <c r="I206" i="41"/>
  <c r="I187" i="42"/>
  <c r="J182" i="42"/>
  <c r="H269" i="43"/>
  <c r="H57" i="50"/>
  <c r="I55" i="50"/>
  <c r="I57" i="50" s="1"/>
  <c r="H60" i="45"/>
  <c r="I58" i="45"/>
  <c r="H63" i="45"/>
  <c r="G64" i="39"/>
  <c r="G61" i="39" s="1"/>
  <c r="G138" i="39"/>
  <c r="G104" i="40"/>
  <c r="H152" i="40"/>
  <c r="H187" i="40"/>
  <c r="H200" i="40"/>
  <c r="G260" i="40"/>
  <c r="G273" i="40" s="1"/>
  <c r="G274" i="40" s="1"/>
  <c r="G44" i="41"/>
  <c r="G48" i="41"/>
  <c r="G52" i="41" s="1"/>
  <c r="H187" i="41"/>
  <c r="G108" i="42"/>
  <c r="H217" i="42"/>
  <c r="H256" i="42" s="1"/>
  <c r="H152" i="44"/>
  <c r="H180" i="44"/>
  <c r="H230" i="44"/>
  <c r="H257" i="44" s="1"/>
  <c r="G45" i="43"/>
  <c r="G48" i="50"/>
  <c r="I152" i="49"/>
  <c r="I153" i="49" s="1"/>
  <c r="I250" i="49" s="1"/>
  <c r="J146" i="49"/>
  <c r="K146" i="49" s="1"/>
  <c r="I187" i="49"/>
  <c r="J182" i="49"/>
  <c r="H217" i="49"/>
  <c r="H256" i="49" s="1"/>
  <c r="I206" i="49"/>
  <c r="H57" i="47"/>
  <c r="I55" i="47"/>
  <c r="I177" i="47"/>
  <c r="H180" i="47"/>
  <c r="I24" i="46"/>
  <c r="J24" i="46" s="1"/>
  <c r="H113" i="46"/>
  <c r="I36" i="46"/>
  <c r="J36" i="46" s="1"/>
  <c r="H180" i="45"/>
  <c r="G234" i="39"/>
  <c r="G46" i="40"/>
  <c r="G64" i="40"/>
  <c r="G61" i="40" s="1"/>
  <c r="I146" i="40"/>
  <c r="J146" i="40" s="1"/>
  <c r="K146" i="40" s="1"/>
  <c r="I183" i="40"/>
  <c r="J183" i="40" s="1"/>
  <c r="K183" i="40" s="1"/>
  <c r="L183" i="40" s="1"/>
  <c r="M183" i="40" s="1"/>
  <c r="I18" i="41"/>
  <c r="J18" i="41" s="1"/>
  <c r="K18" i="41" s="1"/>
  <c r="L18" i="41" s="1"/>
  <c r="M18" i="41" s="1"/>
  <c r="I36" i="41"/>
  <c r="G45" i="41"/>
  <c r="I182" i="41"/>
  <c r="J182" i="41" s="1"/>
  <c r="I266" i="41"/>
  <c r="I25" i="42"/>
  <c r="I57" i="42"/>
  <c r="I47" i="42" s="1"/>
  <c r="G64" i="42"/>
  <c r="G61" i="42" s="1"/>
  <c r="G189" i="42"/>
  <c r="G64" i="44"/>
  <c r="G61" i="44" s="1"/>
  <c r="H136" i="44"/>
  <c r="H138" i="44" s="1"/>
  <c r="I146" i="44"/>
  <c r="J177" i="44"/>
  <c r="K177" i="44" s="1"/>
  <c r="G47" i="43"/>
  <c r="G234" i="43"/>
  <c r="H35" i="50"/>
  <c r="G46" i="50"/>
  <c r="H269" i="50"/>
  <c r="H35" i="49"/>
  <c r="H29" i="49"/>
  <c r="I27" i="49"/>
  <c r="H217" i="47"/>
  <c r="H256" i="47" s="1"/>
  <c r="G100" i="46"/>
  <c r="G45" i="46"/>
  <c r="G48" i="46"/>
  <c r="G44" i="46"/>
  <c r="G47" i="46"/>
  <c r="G64" i="46"/>
  <c r="G61" i="46" s="1"/>
  <c r="I187" i="46"/>
  <c r="J182" i="46"/>
  <c r="I269" i="46"/>
  <c r="J266" i="46"/>
  <c r="H45" i="63"/>
  <c r="H47" i="63"/>
  <c r="H217" i="63"/>
  <c r="H256" i="63" s="1"/>
  <c r="I206" i="63"/>
  <c r="I217" i="63" s="1"/>
  <c r="I256" i="63" s="1"/>
  <c r="H26" i="70"/>
  <c r="I24" i="70"/>
  <c r="H57" i="41"/>
  <c r="G234" i="41"/>
  <c r="H153" i="44"/>
  <c r="H250" i="44" s="1"/>
  <c r="G234" i="44"/>
  <c r="I35" i="50"/>
  <c r="G52" i="50"/>
  <c r="H57" i="48"/>
  <c r="J24" i="47"/>
  <c r="K24" i="47" s="1"/>
  <c r="G100" i="47"/>
  <c r="G47" i="47"/>
  <c r="G44" i="47"/>
  <c r="G46" i="47" s="1"/>
  <c r="G99" i="47" s="1"/>
  <c r="G48" i="47"/>
  <c r="G52" i="47" s="1"/>
  <c r="G72" i="47"/>
  <c r="G77" i="47" s="1"/>
  <c r="G108" i="46"/>
  <c r="G116" i="46"/>
  <c r="G121" i="46" s="1"/>
  <c r="G95" i="46"/>
  <c r="G111" i="46"/>
  <c r="I29" i="45"/>
  <c r="J27" i="45"/>
  <c r="H164" i="45"/>
  <c r="I158" i="45"/>
  <c r="H217" i="45"/>
  <c r="H256" i="45" s="1"/>
  <c r="I206" i="45"/>
  <c r="G138" i="49"/>
  <c r="H180" i="49"/>
  <c r="G189" i="48"/>
  <c r="H269" i="48"/>
  <c r="H26" i="47"/>
  <c r="G64" i="47"/>
  <c r="G61" i="47" s="1"/>
  <c r="H164" i="46"/>
  <c r="G72" i="45"/>
  <c r="G77" i="45" s="1"/>
  <c r="J24" i="69"/>
  <c r="H113" i="69"/>
  <c r="I36" i="69"/>
  <c r="G273" i="70"/>
  <c r="G274" i="70" s="1"/>
  <c r="H26" i="73"/>
  <c r="H32" i="73" s="1"/>
  <c r="H112" i="73" s="1"/>
  <c r="I24" i="73"/>
  <c r="I26" i="73" s="1"/>
  <c r="I131" i="50"/>
  <c r="H129" i="49"/>
  <c r="I178" i="49"/>
  <c r="J178" i="49" s="1"/>
  <c r="K178" i="49" s="1"/>
  <c r="L178" i="49" s="1"/>
  <c r="M178" i="49" s="1"/>
  <c r="I55" i="48"/>
  <c r="G234" i="48"/>
  <c r="I25" i="47"/>
  <c r="H152" i="46"/>
  <c r="I158" i="46"/>
  <c r="G45" i="45"/>
  <c r="H29" i="63"/>
  <c r="I27" i="63"/>
  <c r="J129" i="69"/>
  <c r="H152" i="69"/>
  <c r="I146" i="69"/>
  <c r="H217" i="70"/>
  <c r="H256" i="70" s="1"/>
  <c r="I150" i="73"/>
  <c r="J150" i="73" s="1"/>
  <c r="K150" i="73" s="1"/>
  <c r="L150" i="73" s="1"/>
  <c r="M150" i="73" s="1"/>
  <c r="H152" i="73"/>
  <c r="I57" i="74"/>
  <c r="J55" i="74"/>
  <c r="J57" i="74" s="1"/>
  <c r="H57" i="76"/>
  <c r="I55" i="76"/>
  <c r="G49" i="49"/>
  <c r="G52" i="49"/>
  <c r="G64" i="49"/>
  <c r="G61" i="49" s="1"/>
  <c r="G72" i="49"/>
  <c r="G77" i="49" s="1"/>
  <c r="I180" i="49"/>
  <c r="I189" i="49" s="1"/>
  <c r="G64" i="48"/>
  <c r="G61" i="48" s="1"/>
  <c r="G72" i="48"/>
  <c r="G77" i="48" s="1"/>
  <c r="H200" i="48"/>
  <c r="H57" i="46"/>
  <c r="H45" i="46" s="1"/>
  <c r="G138" i="46"/>
  <c r="H230" i="46"/>
  <c r="H257" i="46" s="1"/>
  <c r="G273" i="46"/>
  <c r="G274" i="46" s="1"/>
  <c r="G46" i="45"/>
  <c r="I269" i="69"/>
  <c r="J266" i="69"/>
  <c r="G104" i="70"/>
  <c r="G95" i="70"/>
  <c r="G111" i="70"/>
  <c r="G108" i="70"/>
  <c r="I133" i="75"/>
  <c r="J133" i="75" s="1"/>
  <c r="K133" i="75" s="1"/>
  <c r="L133" i="75" s="1"/>
  <c r="M133" i="75" s="1"/>
  <c r="H136" i="75"/>
  <c r="H129" i="63"/>
  <c r="G138" i="70"/>
  <c r="H269" i="70"/>
  <c r="H152" i="71"/>
  <c r="H153" i="71" s="1"/>
  <c r="H250" i="71" s="1"/>
  <c r="H200" i="72"/>
  <c r="I195" i="72"/>
  <c r="H129" i="73"/>
  <c r="I125" i="73"/>
  <c r="J125" i="73" s="1"/>
  <c r="K125" i="73" s="1"/>
  <c r="L125" i="73" s="1"/>
  <c r="M125" i="73" s="1"/>
  <c r="I124" i="63"/>
  <c r="G138" i="63"/>
  <c r="H187" i="63"/>
  <c r="H269" i="63"/>
  <c r="G44" i="69"/>
  <c r="G72" i="69"/>
  <c r="G77" i="69" s="1"/>
  <c r="G116" i="69"/>
  <c r="G121" i="69" s="1"/>
  <c r="G260" i="69"/>
  <c r="G273" i="69" s="1"/>
  <c r="G274" i="69" s="1"/>
  <c r="I18" i="70"/>
  <c r="J18" i="70" s="1"/>
  <c r="K18" i="70" s="1"/>
  <c r="L18" i="70" s="1"/>
  <c r="M18" i="70" s="1"/>
  <c r="I36" i="70"/>
  <c r="I58" i="70"/>
  <c r="H60" i="70"/>
  <c r="I124" i="70"/>
  <c r="I146" i="70"/>
  <c r="J146" i="70" s="1"/>
  <c r="K146" i="70" s="1"/>
  <c r="H35" i="71"/>
  <c r="H29" i="71"/>
  <c r="I55" i="71"/>
  <c r="H180" i="71"/>
  <c r="H57" i="72"/>
  <c r="G47" i="73"/>
  <c r="G45" i="73"/>
  <c r="G100" i="73"/>
  <c r="G44" i="73"/>
  <c r="G64" i="73"/>
  <c r="G61" i="73" s="1"/>
  <c r="H269" i="73"/>
  <c r="J24" i="74"/>
  <c r="M129" i="74"/>
  <c r="H153" i="63"/>
  <c r="H250" i="63" s="1"/>
  <c r="I182" i="63"/>
  <c r="H200" i="63"/>
  <c r="H35" i="69"/>
  <c r="G45" i="69"/>
  <c r="G95" i="69"/>
  <c r="I164" i="69"/>
  <c r="G234" i="70"/>
  <c r="I27" i="71"/>
  <c r="I35" i="71" s="1"/>
  <c r="I269" i="72"/>
  <c r="J266" i="72"/>
  <c r="H217" i="73"/>
  <c r="H256" i="73" s="1"/>
  <c r="H217" i="75"/>
  <c r="H256" i="75" s="1"/>
  <c r="I206" i="75"/>
  <c r="H35" i="72"/>
  <c r="H29" i="72"/>
  <c r="G47" i="72"/>
  <c r="H187" i="72"/>
  <c r="G64" i="75"/>
  <c r="G61" i="75" s="1"/>
  <c r="I187" i="75"/>
  <c r="J182" i="75"/>
  <c r="H136" i="76"/>
  <c r="I131" i="76"/>
  <c r="J131" i="76" s="1"/>
  <c r="I177" i="76"/>
  <c r="H180" i="76"/>
  <c r="I136" i="71"/>
  <c r="I27" i="72"/>
  <c r="G44" i="72"/>
  <c r="G46" i="72" s="1"/>
  <c r="G98" i="72" s="1"/>
  <c r="G72" i="72"/>
  <c r="G77" i="72" s="1"/>
  <c r="H129" i="72"/>
  <c r="I183" i="72"/>
  <c r="J183" i="72" s="1"/>
  <c r="K183" i="72" s="1"/>
  <c r="L183" i="72" s="1"/>
  <c r="M183" i="72" s="1"/>
  <c r="G234" i="72"/>
  <c r="H180" i="73"/>
  <c r="H187" i="74"/>
  <c r="I182" i="74"/>
  <c r="G100" i="75"/>
  <c r="G48" i="75"/>
  <c r="G45" i="75"/>
  <c r="G72" i="75"/>
  <c r="G77" i="75" s="1"/>
  <c r="G44" i="75"/>
  <c r="G46" i="75" s="1"/>
  <c r="G47" i="75"/>
  <c r="G47" i="76"/>
  <c r="G48" i="76"/>
  <c r="G45" i="76"/>
  <c r="G46" i="76" s="1"/>
  <c r="H217" i="76"/>
  <c r="H256" i="76" s="1"/>
  <c r="G64" i="72"/>
  <c r="G61" i="72" s="1"/>
  <c r="J27" i="74"/>
  <c r="G46" i="74"/>
  <c r="G49" i="74"/>
  <c r="H57" i="74"/>
  <c r="H269" i="74"/>
  <c r="I266" i="74"/>
  <c r="H57" i="75"/>
  <c r="G64" i="76"/>
  <c r="G61" i="76" s="1"/>
  <c r="I27" i="75"/>
  <c r="I29" i="75" s="1"/>
  <c r="H230" i="75"/>
  <c r="H257" i="75" s="1"/>
  <c r="I266" i="75"/>
  <c r="H180" i="74"/>
  <c r="H189" i="74" s="1"/>
  <c r="H190" i="74" s="1"/>
  <c r="H254" i="74" s="1"/>
  <c r="H180" i="75"/>
  <c r="G234" i="75"/>
  <c r="J36" i="76"/>
  <c r="G138" i="76"/>
  <c r="H35" i="76"/>
  <c r="I27" i="76"/>
  <c r="J27" i="76" s="1"/>
  <c r="H29" i="76"/>
  <c r="G116" i="76"/>
  <c r="G121" i="76" s="1"/>
  <c r="G108" i="76"/>
  <c r="G104" i="76"/>
  <c r="G106" i="76"/>
  <c r="G105" i="76"/>
  <c r="G97" i="76"/>
  <c r="G32" i="76"/>
  <c r="G112" i="76" s="1"/>
  <c r="G96" i="76"/>
  <c r="G52" i="76"/>
  <c r="G49" i="76"/>
  <c r="I25" i="76"/>
  <c r="K36" i="76"/>
  <c r="H26" i="76"/>
  <c r="I24" i="76"/>
  <c r="I57" i="76"/>
  <c r="H63" i="76"/>
  <c r="H60" i="76"/>
  <c r="H64" i="76" s="1"/>
  <c r="H61" i="76" s="1"/>
  <c r="I58" i="76"/>
  <c r="J136" i="76"/>
  <c r="K131" i="76"/>
  <c r="I35" i="76"/>
  <c r="H44" i="76"/>
  <c r="H48" i="76"/>
  <c r="G100" i="76"/>
  <c r="G72" i="76"/>
  <c r="G77" i="76" s="1"/>
  <c r="H129" i="76"/>
  <c r="H138" i="76" s="1"/>
  <c r="I124" i="76"/>
  <c r="H113" i="76"/>
  <c r="I152" i="76"/>
  <c r="I187" i="76"/>
  <c r="J182" i="76"/>
  <c r="J55" i="76"/>
  <c r="J146" i="76"/>
  <c r="H164" i="76"/>
  <c r="I158" i="76"/>
  <c r="I136" i="76"/>
  <c r="H152" i="76"/>
  <c r="I153" i="76" s="1"/>
  <c r="I250" i="76" s="1"/>
  <c r="G189" i="76"/>
  <c r="H230" i="76"/>
  <c r="H257" i="76" s="1"/>
  <c r="H165" i="76"/>
  <c r="H251" i="76" s="1"/>
  <c r="J177" i="76"/>
  <c r="I180" i="76"/>
  <c r="I189" i="76" s="1"/>
  <c r="I217" i="76"/>
  <c r="I256" i="76" s="1"/>
  <c r="J206" i="76"/>
  <c r="I269" i="76"/>
  <c r="J266" i="76"/>
  <c r="H200" i="76"/>
  <c r="I195" i="76"/>
  <c r="H187" i="76"/>
  <c r="H189" i="76" s="1"/>
  <c r="I190" i="76" s="1"/>
  <c r="I254" i="76" s="1"/>
  <c r="I223" i="76"/>
  <c r="I25" i="75"/>
  <c r="J36" i="75"/>
  <c r="G106" i="75"/>
  <c r="G116" i="75"/>
  <c r="G121" i="75" s="1"/>
  <c r="G111" i="75"/>
  <c r="G108" i="75"/>
  <c r="G104" i="75"/>
  <c r="G96" i="75"/>
  <c r="G105" i="75"/>
  <c r="G102" i="75"/>
  <c r="G95" i="75"/>
  <c r="G32" i="75"/>
  <c r="G112" i="75" s="1"/>
  <c r="G97" i="75"/>
  <c r="H26" i="75"/>
  <c r="I24" i="75"/>
  <c r="G99" i="75"/>
  <c r="G98" i="75"/>
  <c r="G71" i="75"/>
  <c r="I100" i="75"/>
  <c r="I72" i="75"/>
  <c r="I77" i="75" s="1"/>
  <c r="I47" i="75"/>
  <c r="I48" i="75"/>
  <c r="I44" i="75"/>
  <c r="I46" i="75" s="1"/>
  <c r="I45" i="75"/>
  <c r="H63" i="75"/>
  <c r="H60" i="75"/>
  <c r="H64" i="75" s="1"/>
  <c r="H61" i="75" s="1"/>
  <c r="I58" i="75"/>
  <c r="I136" i="75"/>
  <c r="J131" i="75"/>
  <c r="G52" i="75"/>
  <c r="G49" i="75"/>
  <c r="G53" i="75" s="1"/>
  <c r="G50" i="75" s="1"/>
  <c r="G31" i="75" s="1"/>
  <c r="G30" i="75" s="1"/>
  <c r="I124" i="75"/>
  <c r="H129" i="75"/>
  <c r="H138" i="75" s="1"/>
  <c r="I35" i="75"/>
  <c r="H44" i="75"/>
  <c r="H48" i="75"/>
  <c r="H113" i="75"/>
  <c r="I164" i="75"/>
  <c r="J158" i="75"/>
  <c r="J187" i="75"/>
  <c r="K182" i="75"/>
  <c r="H152" i="75"/>
  <c r="H153" i="75" s="1"/>
  <c r="H250" i="75" s="1"/>
  <c r="I146" i="75"/>
  <c r="J27" i="75"/>
  <c r="J55" i="75"/>
  <c r="H165" i="75"/>
  <c r="H251" i="75" s="1"/>
  <c r="J177" i="75"/>
  <c r="I180" i="75"/>
  <c r="I189" i="75" s="1"/>
  <c r="I217" i="75"/>
  <c r="I256" i="75" s="1"/>
  <c r="J206" i="75"/>
  <c r="I269" i="75"/>
  <c r="J266" i="75"/>
  <c r="H200" i="75"/>
  <c r="I195" i="75"/>
  <c r="I165" i="75"/>
  <c r="I251" i="75" s="1"/>
  <c r="H187" i="75"/>
  <c r="H189" i="75" s="1"/>
  <c r="I190" i="75" s="1"/>
  <c r="I254" i="75" s="1"/>
  <c r="I223" i="75"/>
  <c r="I45" i="74"/>
  <c r="I48" i="74"/>
  <c r="I47" i="74"/>
  <c r="I44" i="74"/>
  <c r="I100" i="74"/>
  <c r="I72" i="74"/>
  <c r="I77" i="74" s="1"/>
  <c r="J100" i="74"/>
  <c r="J47" i="74"/>
  <c r="J45" i="74"/>
  <c r="J48" i="74"/>
  <c r="J44" i="74"/>
  <c r="J46" i="74" s="1"/>
  <c r="J72" i="74"/>
  <c r="J77" i="74" s="1"/>
  <c r="L147" i="74"/>
  <c r="M147" i="74" s="1"/>
  <c r="K152" i="74"/>
  <c r="G99" i="74"/>
  <c r="G71" i="74"/>
  <c r="G98" i="74"/>
  <c r="G53" i="74"/>
  <c r="G50" i="74" s="1"/>
  <c r="G31" i="74" s="1"/>
  <c r="G30" i="74" s="1"/>
  <c r="H72" i="74"/>
  <c r="H77" i="74" s="1"/>
  <c r="H48" i="74"/>
  <c r="H44" i="74"/>
  <c r="H100" i="74"/>
  <c r="H45" i="74"/>
  <c r="H47" i="74"/>
  <c r="K24" i="74"/>
  <c r="L131" i="74"/>
  <c r="K136" i="74"/>
  <c r="J136" i="74"/>
  <c r="I164" i="74"/>
  <c r="J158" i="74"/>
  <c r="J36" i="74"/>
  <c r="K55" i="74"/>
  <c r="G95" i="74"/>
  <c r="H96" i="74"/>
  <c r="H108" i="74"/>
  <c r="I129" i="74"/>
  <c r="J180" i="74"/>
  <c r="K177" i="74"/>
  <c r="I35" i="74"/>
  <c r="H63" i="74"/>
  <c r="H60" i="74"/>
  <c r="H64" i="74" s="1"/>
  <c r="H61" i="74" s="1"/>
  <c r="I58" i="74"/>
  <c r="H129" i="74"/>
  <c r="I152" i="74"/>
  <c r="I187" i="74"/>
  <c r="J182" i="74"/>
  <c r="H217" i="74"/>
  <c r="H256" i="74" s="1"/>
  <c r="H105" i="74"/>
  <c r="H102" i="74"/>
  <c r="H97" i="74"/>
  <c r="H106" i="74"/>
  <c r="H32" i="74"/>
  <c r="H112" i="74" s="1"/>
  <c r="I25" i="74"/>
  <c r="I26" i="74" s="1"/>
  <c r="G116" i="74"/>
  <c r="G121" i="74" s="1"/>
  <c r="G111" i="74"/>
  <c r="G108" i="74"/>
  <c r="G104" i="74"/>
  <c r="G96" i="74"/>
  <c r="G105" i="74"/>
  <c r="G102" i="74"/>
  <c r="G97" i="74"/>
  <c r="G32" i="74"/>
  <c r="G112" i="74" s="1"/>
  <c r="H104" i="74"/>
  <c r="H116" i="74"/>
  <c r="K129" i="74"/>
  <c r="L129" i="74"/>
  <c r="H136" i="74"/>
  <c r="L152" i="74"/>
  <c r="M146" i="74"/>
  <c r="M152" i="74" s="1"/>
  <c r="J152" i="74"/>
  <c r="H164" i="74"/>
  <c r="I165" i="74" s="1"/>
  <c r="I251" i="74" s="1"/>
  <c r="I217" i="74"/>
  <c r="I256" i="74" s="1"/>
  <c r="J206" i="74"/>
  <c r="H200" i="74"/>
  <c r="I195" i="74"/>
  <c r="J223" i="74"/>
  <c r="J129" i="74"/>
  <c r="J138" i="74" s="1"/>
  <c r="I136" i="74"/>
  <c r="H152" i="74"/>
  <c r="I224" i="74"/>
  <c r="J224" i="74" s="1"/>
  <c r="K224" i="74" s="1"/>
  <c r="L224" i="74" s="1"/>
  <c r="M224" i="74" s="1"/>
  <c r="H230" i="74"/>
  <c r="H257" i="74" s="1"/>
  <c r="I180" i="74"/>
  <c r="I189" i="74" s="1"/>
  <c r="G234" i="74"/>
  <c r="G273" i="74"/>
  <c r="G274" i="74" s="1"/>
  <c r="I269" i="74"/>
  <c r="J266" i="74"/>
  <c r="H100" i="73"/>
  <c r="H72" i="73"/>
  <c r="H77" i="73" s="1"/>
  <c r="H48" i="73"/>
  <c r="H44" i="73"/>
  <c r="H46" i="73" s="1"/>
  <c r="H45" i="73"/>
  <c r="H47" i="73"/>
  <c r="I105" i="73"/>
  <c r="I102" i="73"/>
  <c r="I97" i="73"/>
  <c r="I95" i="73"/>
  <c r="I108" i="73"/>
  <c r="I116" i="73"/>
  <c r="I121" i="73" s="1"/>
  <c r="I32" i="73"/>
  <c r="I112" i="73" s="1"/>
  <c r="I96" i="73"/>
  <c r="I104" i="73"/>
  <c r="I35" i="73"/>
  <c r="J27" i="73"/>
  <c r="I29" i="73"/>
  <c r="I57" i="73"/>
  <c r="K152" i="73"/>
  <c r="L146" i="73"/>
  <c r="J24" i="73"/>
  <c r="H29" i="73"/>
  <c r="I36" i="73"/>
  <c r="J55" i="73"/>
  <c r="I56" i="73"/>
  <c r="J56" i="73" s="1"/>
  <c r="K56" i="73" s="1"/>
  <c r="L56" i="73" s="1"/>
  <c r="M56" i="73" s="1"/>
  <c r="H164" i="73"/>
  <c r="I158" i="73"/>
  <c r="H116" i="73"/>
  <c r="H114" i="73"/>
  <c r="H108" i="73"/>
  <c r="H104" i="73"/>
  <c r="H96" i="73"/>
  <c r="H105" i="73"/>
  <c r="H102" i="73"/>
  <c r="H97" i="73"/>
  <c r="H106" i="73"/>
  <c r="H63" i="73"/>
  <c r="H60" i="73"/>
  <c r="H64" i="73" s="1"/>
  <c r="H61" i="73" s="1"/>
  <c r="I58" i="73"/>
  <c r="H95" i="73"/>
  <c r="H153" i="73"/>
  <c r="H250" i="73" s="1"/>
  <c r="I187" i="73"/>
  <c r="J182" i="73"/>
  <c r="H136" i="73"/>
  <c r="H138" i="73" s="1"/>
  <c r="I131" i="73"/>
  <c r="J25" i="73"/>
  <c r="G95" i="73"/>
  <c r="G116" i="73"/>
  <c r="G121" i="73" s="1"/>
  <c r="G111" i="73"/>
  <c r="G114" i="73" s="1"/>
  <c r="G108" i="73"/>
  <c r="G104" i="73"/>
  <c r="G96" i="73"/>
  <c r="G105" i="73"/>
  <c r="G102" i="73"/>
  <c r="G97" i="73"/>
  <c r="G106" i="73"/>
  <c r="I129" i="73"/>
  <c r="J124" i="73"/>
  <c r="J152" i="73"/>
  <c r="K153" i="73" s="1"/>
  <c r="K250" i="73" s="1"/>
  <c r="I152" i="73"/>
  <c r="J153" i="73" s="1"/>
  <c r="J250" i="73" s="1"/>
  <c r="G189" i="73"/>
  <c r="H230" i="73"/>
  <c r="H257" i="73" s="1"/>
  <c r="J177" i="73"/>
  <c r="I180" i="73"/>
  <c r="I189" i="73" s="1"/>
  <c r="I217" i="73"/>
  <c r="I256" i="73" s="1"/>
  <c r="J206" i="73"/>
  <c r="I269" i="73"/>
  <c r="J266" i="73"/>
  <c r="H200" i="73"/>
  <c r="I195" i="73"/>
  <c r="H187" i="73"/>
  <c r="H189" i="73" s="1"/>
  <c r="I223" i="73"/>
  <c r="I57" i="72"/>
  <c r="I35" i="72"/>
  <c r="I24" i="72"/>
  <c r="K25" i="72"/>
  <c r="H26" i="72"/>
  <c r="J27" i="72"/>
  <c r="I29" i="72"/>
  <c r="I36" i="72"/>
  <c r="J55" i="72"/>
  <c r="H63" i="72"/>
  <c r="H60" i="72"/>
  <c r="H64" i="72" s="1"/>
  <c r="H61" i="72" s="1"/>
  <c r="I58" i="72"/>
  <c r="I129" i="72"/>
  <c r="J124" i="72"/>
  <c r="G116" i="72"/>
  <c r="G121" i="72" s="1"/>
  <c r="G111" i="72"/>
  <c r="G108" i="72"/>
  <c r="G104" i="72"/>
  <c r="G96" i="72"/>
  <c r="G105" i="72"/>
  <c r="G102" i="72"/>
  <c r="G97" i="72"/>
  <c r="G95" i="72"/>
  <c r="H45" i="72"/>
  <c r="G71" i="72"/>
  <c r="G99" i="72"/>
  <c r="H100" i="72"/>
  <c r="I179" i="72"/>
  <c r="J179" i="72" s="1"/>
  <c r="K179" i="72" s="1"/>
  <c r="L179" i="72" s="1"/>
  <c r="M179" i="72" s="1"/>
  <c r="H180" i="72"/>
  <c r="H189" i="72" s="1"/>
  <c r="G32" i="72"/>
  <c r="G112" i="72" s="1"/>
  <c r="H44" i="72"/>
  <c r="H48" i="72"/>
  <c r="H136" i="72"/>
  <c r="H138" i="72" s="1"/>
  <c r="I131" i="72"/>
  <c r="H152" i="72"/>
  <c r="I146" i="72"/>
  <c r="K158" i="72"/>
  <c r="J164" i="72"/>
  <c r="I164" i="72"/>
  <c r="H255" i="72"/>
  <c r="J269" i="72"/>
  <c r="K266" i="72"/>
  <c r="I200" i="72"/>
  <c r="J195" i="72"/>
  <c r="I217" i="72"/>
  <c r="I256" i="72" s="1"/>
  <c r="I187" i="72"/>
  <c r="J182" i="72"/>
  <c r="H217" i="72"/>
  <c r="H256" i="72" s="1"/>
  <c r="H230" i="72"/>
  <c r="H257" i="72" s="1"/>
  <c r="K177" i="72"/>
  <c r="H269" i="72"/>
  <c r="H164" i="72"/>
  <c r="J217" i="72"/>
  <c r="J256" i="72" s="1"/>
  <c r="K206" i="72"/>
  <c r="I223" i="72"/>
  <c r="L25" i="71"/>
  <c r="H64" i="71"/>
  <c r="H61" i="71" s="1"/>
  <c r="G98" i="71"/>
  <c r="G99" i="71"/>
  <c r="G71" i="71"/>
  <c r="H100" i="71"/>
  <c r="H72" i="71"/>
  <c r="H77" i="71" s="1"/>
  <c r="H48" i="71"/>
  <c r="H45" i="71"/>
  <c r="H47" i="71"/>
  <c r="H44" i="71"/>
  <c r="J136" i="71"/>
  <c r="K131" i="71"/>
  <c r="I24" i="71"/>
  <c r="H26" i="71"/>
  <c r="J27" i="71"/>
  <c r="I29" i="71"/>
  <c r="G72" i="71"/>
  <c r="G77" i="71" s="1"/>
  <c r="G100" i="71"/>
  <c r="I152" i="71"/>
  <c r="I153" i="71" s="1"/>
  <c r="I250" i="71" s="1"/>
  <c r="J146" i="71"/>
  <c r="G105" i="71"/>
  <c r="G102" i="71"/>
  <c r="G97" i="71"/>
  <c r="G106" i="71"/>
  <c r="G95" i="71"/>
  <c r="G32" i="71"/>
  <c r="G112" i="71" s="1"/>
  <c r="G108" i="71"/>
  <c r="G116" i="71"/>
  <c r="G121" i="71" s="1"/>
  <c r="G96" i="71"/>
  <c r="J129" i="71"/>
  <c r="I187" i="71"/>
  <c r="J182" i="71"/>
  <c r="I57" i="71"/>
  <c r="J55" i="71"/>
  <c r="G111" i="71"/>
  <c r="H113" i="71"/>
  <c r="I36" i="71"/>
  <c r="G52" i="71"/>
  <c r="G49" i="71"/>
  <c r="G53" i="71" s="1"/>
  <c r="G50" i="71" s="1"/>
  <c r="G31" i="71" s="1"/>
  <c r="G30" i="71" s="1"/>
  <c r="H63" i="71"/>
  <c r="K129" i="71"/>
  <c r="L124" i="71"/>
  <c r="I129" i="71"/>
  <c r="I138" i="71" s="1"/>
  <c r="H136" i="71"/>
  <c r="H138" i="71" s="1"/>
  <c r="H164" i="71"/>
  <c r="G189" i="71"/>
  <c r="H190" i="71" s="1"/>
  <c r="H254" i="71" s="1"/>
  <c r="H230" i="71"/>
  <c r="H257" i="71" s="1"/>
  <c r="J164" i="71"/>
  <c r="H165" i="71"/>
  <c r="H251" i="71" s="1"/>
  <c r="J177" i="71"/>
  <c r="I180" i="71"/>
  <c r="I217" i="71"/>
  <c r="I256" i="71" s="1"/>
  <c r="J206" i="71"/>
  <c r="I269" i="71"/>
  <c r="J266" i="71"/>
  <c r="K158" i="71"/>
  <c r="I164" i="71"/>
  <c r="J165" i="71" s="1"/>
  <c r="J251" i="71" s="1"/>
  <c r="H200" i="71"/>
  <c r="I195" i="71"/>
  <c r="H187" i="71"/>
  <c r="H189" i="71" s="1"/>
  <c r="I223" i="71"/>
  <c r="H35" i="70"/>
  <c r="H29" i="70"/>
  <c r="I27" i="70"/>
  <c r="G49" i="70"/>
  <c r="H57" i="70"/>
  <c r="H64" i="70" s="1"/>
  <c r="H61" i="70" s="1"/>
  <c r="I55" i="70"/>
  <c r="G48" i="70"/>
  <c r="G52" i="70" s="1"/>
  <c r="G44" i="70"/>
  <c r="G100" i="70"/>
  <c r="G45" i="70"/>
  <c r="G64" i="70"/>
  <c r="G61" i="70" s="1"/>
  <c r="H136" i="70"/>
  <c r="I131" i="70"/>
  <c r="G72" i="70"/>
  <c r="G77" i="70" s="1"/>
  <c r="K152" i="70"/>
  <c r="L146" i="70"/>
  <c r="J25" i="70"/>
  <c r="I60" i="70"/>
  <c r="J58" i="70"/>
  <c r="I63" i="70"/>
  <c r="G116" i="70"/>
  <c r="G121" i="70" s="1"/>
  <c r="G105" i="70"/>
  <c r="G102" i="70"/>
  <c r="G97" i="70"/>
  <c r="G32" i="70"/>
  <c r="G112" i="70" s="1"/>
  <c r="G114" i="70" s="1"/>
  <c r="G106" i="70"/>
  <c r="H164" i="70"/>
  <c r="I158" i="70"/>
  <c r="H116" i="70"/>
  <c r="H108" i="70"/>
  <c r="H104" i="70"/>
  <c r="H106" i="70"/>
  <c r="H32" i="70"/>
  <c r="H112" i="70" s="1"/>
  <c r="H102" i="70"/>
  <c r="H105" i="70"/>
  <c r="H138" i="70"/>
  <c r="H153" i="70"/>
  <c r="H250" i="70" s="1"/>
  <c r="I187" i="70"/>
  <c r="J182" i="70"/>
  <c r="J24" i="70"/>
  <c r="I26" i="70"/>
  <c r="J36" i="70"/>
  <c r="H95" i="70"/>
  <c r="I129" i="70"/>
  <c r="J124" i="70"/>
  <c r="J152" i="70"/>
  <c r="K153" i="70" s="1"/>
  <c r="K250" i="70" s="1"/>
  <c r="I152" i="70"/>
  <c r="I153" i="70" s="1"/>
  <c r="I250" i="70" s="1"/>
  <c r="G189" i="70"/>
  <c r="H230" i="70"/>
  <c r="H257" i="70" s="1"/>
  <c r="H165" i="70"/>
  <c r="H251" i="70" s="1"/>
  <c r="J177" i="70"/>
  <c r="I180" i="70"/>
  <c r="I217" i="70"/>
  <c r="I256" i="70" s="1"/>
  <c r="J206" i="70"/>
  <c r="I269" i="70"/>
  <c r="J266" i="70"/>
  <c r="H200" i="70"/>
  <c r="I195" i="70"/>
  <c r="H187" i="70"/>
  <c r="H189" i="70" s="1"/>
  <c r="I223" i="70"/>
  <c r="L55" i="69"/>
  <c r="H47" i="69"/>
  <c r="H72" i="69"/>
  <c r="H77" i="69" s="1"/>
  <c r="H48" i="69"/>
  <c r="H44" i="69"/>
  <c r="H63" i="69"/>
  <c r="H60" i="69"/>
  <c r="H64" i="69" s="1"/>
  <c r="H61" i="69" s="1"/>
  <c r="I58" i="69"/>
  <c r="H100" i="69"/>
  <c r="H129" i="69"/>
  <c r="J177" i="69"/>
  <c r="I180" i="69"/>
  <c r="K182" i="69"/>
  <c r="J36" i="69"/>
  <c r="G53" i="69"/>
  <c r="G50" i="69" s="1"/>
  <c r="G31" i="69" s="1"/>
  <c r="G30" i="69" s="1"/>
  <c r="K124" i="69"/>
  <c r="K158" i="69"/>
  <c r="J164" i="69"/>
  <c r="I25" i="69"/>
  <c r="H26" i="69"/>
  <c r="H29" i="69"/>
  <c r="H136" i="69"/>
  <c r="J146" i="69"/>
  <c r="I152" i="69"/>
  <c r="I153" i="69"/>
  <c r="I250" i="69" s="1"/>
  <c r="H153" i="69"/>
  <c r="H250" i="69" s="1"/>
  <c r="H180" i="69"/>
  <c r="H189" i="69" s="1"/>
  <c r="K24" i="69"/>
  <c r="I56" i="69"/>
  <c r="G46" i="69"/>
  <c r="H45" i="69"/>
  <c r="I131" i="69"/>
  <c r="G69" i="69"/>
  <c r="G74" i="69" s="1"/>
  <c r="G97" i="69"/>
  <c r="G102" i="69"/>
  <c r="G105" i="69"/>
  <c r="H164" i="69"/>
  <c r="I183" i="69"/>
  <c r="J183" i="69" s="1"/>
  <c r="K183" i="69" s="1"/>
  <c r="L183" i="69" s="1"/>
  <c r="M183" i="69" s="1"/>
  <c r="I195" i="69"/>
  <c r="I217" i="69"/>
  <c r="I256" i="69" s="1"/>
  <c r="J269" i="69"/>
  <c r="K266" i="69"/>
  <c r="H255" i="69"/>
  <c r="H234" i="69"/>
  <c r="I27" i="69"/>
  <c r="G32" i="69"/>
  <c r="G112" i="69" s="1"/>
  <c r="G114" i="69" s="1"/>
  <c r="G96" i="69"/>
  <c r="G104" i="69"/>
  <c r="G108" i="69"/>
  <c r="I129" i="69"/>
  <c r="I187" i="69"/>
  <c r="J217" i="69"/>
  <c r="J256" i="69" s="1"/>
  <c r="K206" i="69"/>
  <c r="H230" i="69"/>
  <c r="H257" i="69" s="1"/>
  <c r="H269" i="69"/>
  <c r="I223" i="69"/>
  <c r="G116" i="63"/>
  <c r="G121" i="63" s="1"/>
  <c r="G111" i="63"/>
  <c r="G114" i="63" s="1"/>
  <c r="G108" i="63"/>
  <c r="G104" i="63"/>
  <c r="G96" i="63"/>
  <c r="G105" i="63"/>
  <c r="G102" i="63"/>
  <c r="G97" i="63"/>
  <c r="G95" i="63"/>
  <c r="H100" i="63"/>
  <c r="H72" i="63"/>
  <c r="H77" i="63" s="1"/>
  <c r="H48" i="63"/>
  <c r="H49" i="63" s="1"/>
  <c r="H44" i="63"/>
  <c r="H46" i="63" s="1"/>
  <c r="K58" i="63"/>
  <c r="G106" i="63"/>
  <c r="H164" i="63"/>
  <c r="I158" i="63"/>
  <c r="I25" i="63"/>
  <c r="I35" i="63"/>
  <c r="I29" i="63"/>
  <c r="J27" i="63"/>
  <c r="I57" i="63"/>
  <c r="J55" i="63"/>
  <c r="H63" i="63"/>
  <c r="H60" i="63"/>
  <c r="H64" i="63" s="1"/>
  <c r="H61" i="63" s="1"/>
  <c r="I59" i="63"/>
  <c r="H136" i="63"/>
  <c r="I131" i="63"/>
  <c r="J146" i="63"/>
  <c r="I152" i="63"/>
  <c r="J177" i="63"/>
  <c r="H26" i="63"/>
  <c r="I24" i="63"/>
  <c r="H52" i="63"/>
  <c r="H113" i="63"/>
  <c r="I36" i="63"/>
  <c r="G45" i="63"/>
  <c r="G46" i="63" s="1"/>
  <c r="G49" i="63"/>
  <c r="H138" i="63"/>
  <c r="I153" i="63"/>
  <c r="I250" i="63" s="1"/>
  <c r="G72" i="63"/>
  <c r="G77" i="63" s="1"/>
  <c r="I129" i="63"/>
  <c r="J124" i="63"/>
  <c r="H165" i="63"/>
  <c r="H251" i="63" s="1"/>
  <c r="I187" i="63"/>
  <c r="J182" i="63"/>
  <c r="H180" i="63"/>
  <c r="H189" i="63" s="1"/>
  <c r="I178" i="63"/>
  <c r="J178" i="63" s="1"/>
  <c r="K178" i="63" s="1"/>
  <c r="L178" i="63" s="1"/>
  <c r="M178" i="63" s="1"/>
  <c r="H255" i="63"/>
  <c r="H234" i="63"/>
  <c r="H190" i="63"/>
  <c r="H254" i="63" s="1"/>
  <c r="I266" i="63"/>
  <c r="I195" i="63"/>
  <c r="J206" i="63"/>
  <c r="I223" i="63"/>
  <c r="G98" i="45"/>
  <c r="G71" i="45"/>
  <c r="G99" i="45"/>
  <c r="K24" i="45"/>
  <c r="H116" i="45"/>
  <c r="H108" i="45"/>
  <c r="H104" i="45"/>
  <c r="H105" i="45"/>
  <c r="H102" i="45"/>
  <c r="H97" i="45"/>
  <c r="H96" i="45"/>
  <c r="H32" i="45"/>
  <c r="H112" i="45" s="1"/>
  <c r="I52" i="45"/>
  <c r="H106" i="45"/>
  <c r="I72" i="45"/>
  <c r="I77" i="45" s="1"/>
  <c r="I48" i="45"/>
  <c r="I49" i="45" s="1"/>
  <c r="I44" i="45"/>
  <c r="I100" i="45"/>
  <c r="I45" i="45"/>
  <c r="G102" i="45"/>
  <c r="I129" i="45"/>
  <c r="J124" i="45"/>
  <c r="H136" i="45"/>
  <c r="I131" i="45"/>
  <c r="L177" i="45"/>
  <c r="K180" i="45"/>
  <c r="I35" i="45"/>
  <c r="J29" i="45"/>
  <c r="G100" i="45"/>
  <c r="G47" i="45"/>
  <c r="H95" i="45"/>
  <c r="H152" i="45"/>
  <c r="I25" i="45"/>
  <c r="G116" i="45"/>
  <c r="G121" i="45" s="1"/>
  <c r="G111" i="45"/>
  <c r="G108" i="45"/>
  <c r="G104" i="45"/>
  <c r="G96" i="45"/>
  <c r="G106" i="45"/>
  <c r="G95" i="45"/>
  <c r="G97" i="45"/>
  <c r="G32" i="45"/>
  <c r="G112" i="45" s="1"/>
  <c r="K36" i="45"/>
  <c r="G105" i="45"/>
  <c r="H57" i="45"/>
  <c r="I152" i="45"/>
  <c r="I164" i="45"/>
  <c r="J158" i="45"/>
  <c r="I165" i="45"/>
  <c r="I251" i="45" s="1"/>
  <c r="I63" i="45"/>
  <c r="I60" i="45"/>
  <c r="I64" i="45" s="1"/>
  <c r="I61" i="45" s="1"/>
  <c r="J58" i="45"/>
  <c r="J152" i="45"/>
  <c r="H187" i="45"/>
  <c r="H189" i="45" s="1"/>
  <c r="I182" i="45"/>
  <c r="H129" i="45"/>
  <c r="K146" i="45"/>
  <c r="I180" i="45"/>
  <c r="J180" i="45"/>
  <c r="H200" i="45"/>
  <c r="I195" i="45"/>
  <c r="G234" i="45"/>
  <c r="H230" i="45"/>
  <c r="H257" i="45" s="1"/>
  <c r="I223" i="45"/>
  <c r="I269" i="45"/>
  <c r="J266" i="45"/>
  <c r="I217" i="45"/>
  <c r="I256" i="45" s="1"/>
  <c r="J206" i="45"/>
  <c r="H165" i="45"/>
  <c r="H251" i="45" s="1"/>
  <c r="L55" i="46"/>
  <c r="K36" i="46"/>
  <c r="K24" i="46"/>
  <c r="I152" i="46"/>
  <c r="J146" i="46"/>
  <c r="J187" i="46"/>
  <c r="K182" i="46"/>
  <c r="H35" i="46"/>
  <c r="I129" i="46"/>
  <c r="I131" i="46"/>
  <c r="H136" i="46"/>
  <c r="H138" i="46" s="1"/>
  <c r="I153" i="46"/>
  <c r="I250" i="46" s="1"/>
  <c r="I25" i="46"/>
  <c r="H26" i="46"/>
  <c r="H29" i="46"/>
  <c r="H47" i="46"/>
  <c r="H72" i="46"/>
  <c r="H77" i="46" s="1"/>
  <c r="H48" i="46"/>
  <c r="H44" i="46"/>
  <c r="H46" i="46" s="1"/>
  <c r="H63" i="46"/>
  <c r="H60" i="46"/>
  <c r="H64" i="46" s="1"/>
  <c r="H61" i="46" s="1"/>
  <c r="I58" i="46"/>
  <c r="H100" i="46"/>
  <c r="J125" i="46"/>
  <c r="K125" i="46" s="1"/>
  <c r="L125" i="46" s="1"/>
  <c r="M125" i="46" s="1"/>
  <c r="I56" i="46"/>
  <c r="L124" i="46"/>
  <c r="J158" i="46"/>
  <c r="I164" i="46"/>
  <c r="I165" i="46" s="1"/>
  <c r="I251" i="46" s="1"/>
  <c r="H153" i="46"/>
  <c r="H250" i="46" s="1"/>
  <c r="G97" i="46"/>
  <c r="G102" i="46"/>
  <c r="G105" i="46"/>
  <c r="I200" i="46"/>
  <c r="J195" i="46"/>
  <c r="I27" i="46"/>
  <c r="G32" i="46"/>
  <c r="G112" i="46" s="1"/>
  <c r="G114" i="46" s="1"/>
  <c r="G96" i="46"/>
  <c r="G104" i="46"/>
  <c r="H165" i="46"/>
  <c r="H251" i="46" s="1"/>
  <c r="I177" i="46"/>
  <c r="H180" i="46"/>
  <c r="J217" i="46"/>
  <c r="J256" i="46" s="1"/>
  <c r="K206" i="46"/>
  <c r="H217" i="46"/>
  <c r="H256" i="46" s="1"/>
  <c r="J269" i="46"/>
  <c r="K266" i="46"/>
  <c r="G189" i="46"/>
  <c r="H187" i="46"/>
  <c r="H200" i="46"/>
  <c r="I217" i="46"/>
  <c r="I256" i="46" s="1"/>
  <c r="H269" i="46"/>
  <c r="I223" i="46"/>
  <c r="H116" i="47"/>
  <c r="H108" i="47"/>
  <c r="H104" i="47"/>
  <c r="H96" i="47"/>
  <c r="H105" i="47"/>
  <c r="H102" i="47"/>
  <c r="H97" i="47"/>
  <c r="H106" i="47"/>
  <c r="H95" i="47"/>
  <c r="H32" i="47"/>
  <c r="H112" i="47" s="1"/>
  <c r="K152" i="47"/>
  <c r="L146" i="47"/>
  <c r="L24" i="47"/>
  <c r="J25" i="47"/>
  <c r="G95" i="47"/>
  <c r="G116" i="47"/>
  <c r="G121" i="47" s="1"/>
  <c r="G111" i="47"/>
  <c r="G108" i="47"/>
  <c r="G104" i="47"/>
  <c r="G96" i="47"/>
  <c r="G105" i="47"/>
  <c r="G102" i="47"/>
  <c r="G97" i="47"/>
  <c r="I27" i="47"/>
  <c r="H29" i="47"/>
  <c r="G32" i="47"/>
  <c r="G112" i="47" s="1"/>
  <c r="G49" i="47"/>
  <c r="G53" i="47" s="1"/>
  <c r="G50" i="47" s="1"/>
  <c r="G31" i="47" s="1"/>
  <c r="G30" i="47" s="1"/>
  <c r="G71" i="47"/>
  <c r="H164" i="47"/>
  <c r="H165" i="47" s="1"/>
  <c r="H251" i="47" s="1"/>
  <c r="I158" i="47"/>
  <c r="H136" i="47"/>
  <c r="H138" i="47" s="1"/>
  <c r="I131" i="47"/>
  <c r="H153" i="47"/>
  <c r="H250" i="47" s="1"/>
  <c r="I187" i="47"/>
  <c r="J182" i="47"/>
  <c r="H63" i="47"/>
  <c r="H60" i="47"/>
  <c r="H64" i="47" s="1"/>
  <c r="H61" i="47" s="1"/>
  <c r="I58" i="47"/>
  <c r="G98" i="47"/>
  <c r="I26" i="47"/>
  <c r="H100" i="47"/>
  <c r="H72" i="47"/>
  <c r="H77" i="47" s="1"/>
  <c r="H48" i="47"/>
  <c r="H44" i="47"/>
  <c r="I129" i="47"/>
  <c r="J124" i="47"/>
  <c r="J152" i="47"/>
  <c r="I152" i="47"/>
  <c r="J153" i="47" s="1"/>
  <c r="J250" i="47" s="1"/>
  <c r="G189" i="47"/>
  <c r="H230" i="47"/>
  <c r="H257" i="47" s="1"/>
  <c r="J177" i="47"/>
  <c r="I180" i="47"/>
  <c r="I217" i="47"/>
  <c r="I256" i="47" s="1"/>
  <c r="J206" i="47"/>
  <c r="I269" i="47"/>
  <c r="J266" i="47"/>
  <c r="H200" i="47"/>
  <c r="I195" i="47"/>
  <c r="H187" i="47"/>
  <c r="H189" i="47" s="1"/>
  <c r="I223" i="47"/>
  <c r="I148" i="48"/>
  <c r="J148" i="48" s="1"/>
  <c r="K148" i="48" s="1"/>
  <c r="L148" i="48" s="1"/>
  <c r="M148" i="48" s="1"/>
  <c r="H152" i="48"/>
  <c r="H255" i="48"/>
  <c r="H217" i="48"/>
  <c r="H256" i="48" s="1"/>
  <c r="I206" i="48"/>
  <c r="I136" i="48"/>
  <c r="J131" i="48"/>
  <c r="I158" i="48"/>
  <c r="H164" i="48"/>
  <c r="H116" i="48"/>
  <c r="H108" i="48"/>
  <c r="H104" i="48"/>
  <c r="H96" i="48"/>
  <c r="H105" i="48"/>
  <c r="H102" i="48"/>
  <c r="H97" i="48"/>
  <c r="H106" i="48"/>
  <c r="H32" i="48"/>
  <c r="H112" i="48" s="1"/>
  <c r="J27" i="48"/>
  <c r="G99" i="48"/>
  <c r="G71" i="48"/>
  <c r="G98" i="48"/>
  <c r="I24" i="48"/>
  <c r="H29" i="48"/>
  <c r="H35" i="48"/>
  <c r="I28" i="48"/>
  <c r="J28" i="48" s="1"/>
  <c r="K28" i="48" s="1"/>
  <c r="L28" i="48" s="1"/>
  <c r="M28" i="48" s="1"/>
  <c r="G52" i="48"/>
  <c r="G49" i="48"/>
  <c r="G53" i="48" s="1"/>
  <c r="G50" i="48" s="1"/>
  <c r="G31" i="48" s="1"/>
  <c r="G30" i="48" s="1"/>
  <c r="H63" i="48"/>
  <c r="H60" i="48"/>
  <c r="H64" i="48" s="1"/>
  <c r="H61" i="48" s="1"/>
  <c r="I58" i="48"/>
  <c r="I25" i="48"/>
  <c r="G95" i="48"/>
  <c r="G116" i="48"/>
  <c r="G121" i="48" s="1"/>
  <c r="G111" i="48"/>
  <c r="G108" i="48"/>
  <c r="G104" i="48"/>
  <c r="G96" i="48"/>
  <c r="G105" i="48"/>
  <c r="G102" i="48"/>
  <c r="G97" i="48"/>
  <c r="G32" i="48"/>
  <c r="G112" i="48" s="1"/>
  <c r="G106" i="48"/>
  <c r="L124" i="48"/>
  <c r="K152" i="48"/>
  <c r="L146" i="48"/>
  <c r="I200" i="48"/>
  <c r="J195" i="48"/>
  <c r="K230" i="48"/>
  <c r="K257" i="48" s="1"/>
  <c r="L223" i="48"/>
  <c r="J36" i="48"/>
  <c r="H100" i="48"/>
  <c r="H72" i="48"/>
  <c r="H77" i="48" s="1"/>
  <c r="H48" i="48"/>
  <c r="H44" i="48"/>
  <c r="H129" i="48"/>
  <c r="I127" i="48"/>
  <c r="J127" i="48" s="1"/>
  <c r="K127" i="48" s="1"/>
  <c r="L127" i="48" s="1"/>
  <c r="M127" i="48" s="1"/>
  <c r="I177" i="48"/>
  <c r="H180" i="48"/>
  <c r="H189" i="48" s="1"/>
  <c r="I187" i="48"/>
  <c r="J182" i="48"/>
  <c r="H230" i="48"/>
  <c r="H257" i="48" s="1"/>
  <c r="I230" i="48"/>
  <c r="I257" i="48" s="1"/>
  <c r="H136" i="48"/>
  <c r="I269" i="48"/>
  <c r="J266" i="48"/>
  <c r="H153" i="48"/>
  <c r="H250" i="48" s="1"/>
  <c r="G99" i="49"/>
  <c r="G98" i="49"/>
  <c r="G71" i="49"/>
  <c r="H113" i="49"/>
  <c r="I36" i="49"/>
  <c r="J55" i="49"/>
  <c r="I35" i="49"/>
  <c r="I29" i="49"/>
  <c r="J27" i="49"/>
  <c r="G53" i="49"/>
  <c r="G50" i="49" s="1"/>
  <c r="H57" i="49"/>
  <c r="I56" i="49"/>
  <c r="J56" i="49" s="1"/>
  <c r="K56" i="49" s="1"/>
  <c r="L56" i="49" s="1"/>
  <c r="M56" i="49" s="1"/>
  <c r="H26" i="49"/>
  <c r="I24" i="49"/>
  <c r="G95" i="49"/>
  <c r="G116" i="49"/>
  <c r="G121" i="49" s="1"/>
  <c r="G111" i="49"/>
  <c r="G114" i="49" s="1"/>
  <c r="G108" i="49"/>
  <c r="G104" i="49"/>
  <c r="G96" i="49"/>
  <c r="G105" i="49"/>
  <c r="G102" i="49"/>
  <c r="G97" i="49"/>
  <c r="G106" i="49"/>
  <c r="G31" i="49"/>
  <c r="G30" i="49" s="1"/>
  <c r="G69" i="49" s="1"/>
  <c r="G74" i="49" s="1"/>
  <c r="H136" i="49"/>
  <c r="H138" i="49" s="1"/>
  <c r="I131" i="49"/>
  <c r="K152" i="49"/>
  <c r="L146" i="49"/>
  <c r="H200" i="49"/>
  <c r="I195" i="49"/>
  <c r="I269" i="49"/>
  <c r="J266" i="49"/>
  <c r="I25" i="49"/>
  <c r="H63" i="49"/>
  <c r="H60" i="49"/>
  <c r="H64" i="49" s="1"/>
  <c r="H61" i="49" s="1"/>
  <c r="I58" i="49"/>
  <c r="I129" i="49"/>
  <c r="J124" i="49"/>
  <c r="J152" i="49"/>
  <c r="J153" i="49" s="1"/>
  <c r="J250" i="49" s="1"/>
  <c r="H153" i="49"/>
  <c r="H250" i="49" s="1"/>
  <c r="H164" i="49"/>
  <c r="H165" i="49" s="1"/>
  <c r="H251" i="49" s="1"/>
  <c r="I158" i="49"/>
  <c r="J180" i="49"/>
  <c r="K177" i="49"/>
  <c r="G189" i="49"/>
  <c r="H187" i="49"/>
  <c r="H189" i="49" s="1"/>
  <c r="I190" i="49" s="1"/>
  <c r="I254" i="49" s="1"/>
  <c r="I217" i="49"/>
  <c r="I256" i="49" s="1"/>
  <c r="J206" i="49"/>
  <c r="K223" i="49"/>
  <c r="J187" i="49"/>
  <c r="K182" i="49"/>
  <c r="H230" i="49"/>
  <c r="H257" i="49" s="1"/>
  <c r="I224" i="49"/>
  <c r="I63" i="50"/>
  <c r="J59" i="50"/>
  <c r="K59" i="50" s="1"/>
  <c r="L59" i="50" s="1"/>
  <c r="M59" i="50" s="1"/>
  <c r="I60" i="50"/>
  <c r="I64" i="50" s="1"/>
  <c r="I61" i="50" s="1"/>
  <c r="I100" i="50"/>
  <c r="I72" i="50"/>
  <c r="I77" i="50" s="1"/>
  <c r="I45" i="50"/>
  <c r="I44" i="50"/>
  <c r="I47" i="50"/>
  <c r="I48" i="50"/>
  <c r="G98" i="50"/>
  <c r="G71" i="50"/>
  <c r="G99" i="50"/>
  <c r="J63" i="50"/>
  <c r="H72" i="50"/>
  <c r="H77" i="50" s="1"/>
  <c r="G102" i="50"/>
  <c r="I24" i="50"/>
  <c r="K25" i="50"/>
  <c r="H26" i="50"/>
  <c r="J27" i="50"/>
  <c r="I29" i="50"/>
  <c r="I36" i="50"/>
  <c r="G49" i="50"/>
  <c r="G53" i="50" s="1"/>
  <c r="G50" i="50" s="1"/>
  <c r="G31" i="50" s="1"/>
  <c r="G30" i="50" s="1"/>
  <c r="J55" i="50"/>
  <c r="K58" i="50"/>
  <c r="J60" i="50"/>
  <c r="H152" i="50"/>
  <c r="H153" i="50" s="1"/>
  <c r="H250" i="50" s="1"/>
  <c r="I146" i="50"/>
  <c r="G106" i="50"/>
  <c r="G95" i="50"/>
  <c r="G116" i="50"/>
  <c r="G121" i="50" s="1"/>
  <c r="G111" i="50"/>
  <c r="G108" i="50"/>
  <c r="G104" i="50"/>
  <c r="G96" i="50"/>
  <c r="H45" i="50"/>
  <c r="I129" i="50"/>
  <c r="I187" i="50"/>
  <c r="J182" i="50"/>
  <c r="G32" i="50"/>
  <c r="G112" i="50" s="1"/>
  <c r="G105" i="50"/>
  <c r="I164" i="50"/>
  <c r="J158" i="50"/>
  <c r="H44" i="50"/>
  <c r="H48" i="50"/>
  <c r="G72" i="50"/>
  <c r="G77" i="50" s="1"/>
  <c r="G100" i="50"/>
  <c r="H60" i="50"/>
  <c r="H64" i="50" s="1"/>
  <c r="H61" i="50" s="1"/>
  <c r="J124" i="50"/>
  <c r="I136" i="50"/>
  <c r="J131" i="50"/>
  <c r="H129" i="50"/>
  <c r="H138" i="50" s="1"/>
  <c r="G189" i="50"/>
  <c r="H230" i="50"/>
  <c r="H257" i="50" s="1"/>
  <c r="J177" i="50"/>
  <c r="I180" i="50"/>
  <c r="I217" i="50"/>
  <c r="I256" i="50" s="1"/>
  <c r="J206" i="50"/>
  <c r="I269" i="50"/>
  <c r="J266" i="50"/>
  <c r="H164" i="50"/>
  <c r="I165" i="50" s="1"/>
  <c r="I251" i="50" s="1"/>
  <c r="H200" i="50"/>
  <c r="I195" i="50"/>
  <c r="H187" i="50"/>
  <c r="H189" i="50" s="1"/>
  <c r="I223" i="50"/>
  <c r="K25" i="43"/>
  <c r="G98" i="43"/>
  <c r="G71" i="43"/>
  <c r="G99" i="43"/>
  <c r="G106" i="43"/>
  <c r="G95" i="43"/>
  <c r="G116" i="43"/>
  <c r="G121" i="43" s="1"/>
  <c r="G111" i="43"/>
  <c r="G114" i="43" s="1"/>
  <c r="G108" i="43"/>
  <c r="G104" i="43"/>
  <c r="G96" i="43"/>
  <c r="I27" i="43"/>
  <c r="H29" i="43"/>
  <c r="G32" i="43"/>
  <c r="G112" i="43" s="1"/>
  <c r="H57" i="43"/>
  <c r="H64" i="43" s="1"/>
  <c r="H61" i="43" s="1"/>
  <c r="I55" i="43"/>
  <c r="G97" i="43"/>
  <c r="H152" i="43"/>
  <c r="I146" i="43"/>
  <c r="I63" i="43"/>
  <c r="I60" i="43"/>
  <c r="J58" i="43"/>
  <c r="I164" i="43"/>
  <c r="J158" i="43"/>
  <c r="H95" i="43"/>
  <c r="H116" i="43"/>
  <c r="H108" i="43"/>
  <c r="H104" i="43"/>
  <c r="H96" i="43"/>
  <c r="H105" i="43"/>
  <c r="H102" i="43"/>
  <c r="H97" i="43"/>
  <c r="H32" i="43"/>
  <c r="H112" i="43" s="1"/>
  <c r="G72" i="43"/>
  <c r="G77" i="43" s="1"/>
  <c r="G100" i="43"/>
  <c r="H106" i="43"/>
  <c r="I129" i="43"/>
  <c r="I187" i="43"/>
  <c r="J182" i="43"/>
  <c r="J24" i="43"/>
  <c r="I26" i="43"/>
  <c r="J36" i="43"/>
  <c r="G48" i="43"/>
  <c r="G49" i="43" s="1"/>
  <c r="G53" i="43" s="1"/>
  <c r="G50" i="43" s="1"/>
  <c r="G31" i="43" s="1"/>
  <c r="G30" i="43" s="1"/>
  <c r="J124" i="43"/>
  <c r="I136" i="43"/>
  <c r="J131" i="43"/>
  <c r="H153" i="43"/>
  <c r="H250" i="43" s="1"/>
  <c r="H129" i="43"/>
  <c r="H138" i="43" s="1"/>
  <c r="G189" i="43"/>
  <c r="H230" i="43"/>
  <c r="H257" i="43" s="1"/>
  <c r="J177" i="43"/>
  <c r="I180" i="43"/>
  <c r="I217" i="43"/>
  <c r="I256" i="43" s="1"/>
  <c r="J206" i="43"/>
  <c r="I269" i="43"/>
  <c r="J266" i="43"/>
  <c r="H164" i="43"/>
  <c r="I165" i="43" s="1"/>
  <c r="I251" i="43" s="1"/>
  <c r="H200" i="43"/>
  <c r="I195" i="43"/>
  <c r="H187" i="43"/>
  <c r="H189" i="43" s="1"/>
  <c r="I223" i="43"/>
  <c r="J63" i="44"/>
  <c r="J60" i="44"/>
  <c r="K58" i="44"/>
  <c r="H45" i="44"/>
  <c r="H100" i="44"/>
  <c r="H44" i="44"/>
  <c r="H48" i="44"/>
  <c r="H47" i="44"/>
  <c r="H72" i="44"/>
  <c r="H77" i="44" s="1"/>
  <c r="J25" i="44"/>
  <c r="I55" i="44"/>
  <c r="I60" i="44"/>
  <c r="I136" i="44"/>
  <c r="K185" i="44"/>
  <c r="L185" i="44" s="1"/>
  <c r="M185" i="44" s="1"/>
  <c r="M187" i="44" s="1"/>
  <c r="J187" i="44"/>
  <c r="H200" i="44"/>
  <c r="I195" i="44"/>
  <c r="I217" i="44"/>
  <c r="I256" i="44" s="1"/>
  <c r="J208" i="44"/>
  <c r="K208" i="44" s="1"/>
  <c r="L208" i="44" s="1"/>
  <c r="M208" i="44" s="1"/>
  <c r="I230" i="44"/>
  <c r="I257" i="44" s="1"/>
  <c r="H269" i="44"/>
  <c r="I266" i="44"/>
  <c r="H26" i="44"/>
  <c r="I24" i="44"/>
  <c r="H189" i="44"/>
  <c r="K36" i="44"/>
  <c r="G72" i="44"/>
  <c r="G77" i="44" s="1"/>
  <c r="G48" i="44"/>
  <c r="G52" i="44" s="1"/>
  <c r="G44" i="44"/>
  <c r="G45" i="44"/>
  <c r="H60" i="44"/>
  <c r="H64" i="44" s="1"/>
  <c r="H61" i="44" s="1"/>
  <c r="I63" i="44"/>
  <c r="G100" i="44"/>
  <c r="M124" i="44"/>
  <c r="M129" i="44" s="1"/>
  <c r="L129" i="44"/>
  <c r="I129" i="44"/>
  <c r="I152" i="44"/>
  <c r="J146" i="44"/>
  <c r="G106" i="44"/>
  <c r="G95" i="44"/>
  <c r="I27" i="44"/>
  <c r="H29" i="44"/>
  <c r="G96" i="44"/>
  <c r="G108" i="44"/>
  <c r="G111" i="44"/>
  <c r="G114" i="44" s="1"/>
  <c r="H113" i="44"/>
  <c r="J131" i="44"/>
  <c r="J129" i="44"/>
  <c r="H164" i="44"/>
  <c r="J217" i="44"/>
  <c r="J256" i="44" s="1"/>
  <c r="K206" i="44"/>
  <c r="L223" i="44"/>
  <c r="J225" i="44"/>
  <c r="K225" i="44" s="1"/>
  <c r="L225" i="44" s="1"/>
  <c r="M225" i="44" s="1"/>
  <c r="H187" i="44"/>
  <c r="K129" i="44"/>
  <c r="G138" i="44"/>
  <c r="J158" i="44"/>
  <c r="I164" i="44"/>
  <c r="I187" i="44"/>
  <c r="I189" i="44" s="1"/>
  <c r="J180" i="44"/>
  <c r="J189" i="44" s="1"/>
  <c r="G273" i="44"/>
  <c r="G274" i="44" s="1"/>
  <c r="I100" i="42"/>
  <c r="I45" i="42"/>
  <c r="I72" i="42"/>
  <c r="I77" i="42" s="1"/>
  <c r="I48" i="42"/>
  <c r="I49" i="42" s="1"/>
  <c r="I44" i="42"/>
  <c r="G99" i="42"/>
  <c r="G98" i="42"/>
  <c r="G71" i="42"/>
  <c r="G52" i="42"/>
  <c r="G49" i="42"/>
  <c r="G53" i="42" s="1"/>
  <c r="G50" i="42" s="1"/>
  <c r="G31" i="42" s="1"/>
  <c r="G30" i="42" s="1"/>
  <c r="H63" i="42"/>
  <c r="H60" i="42"/>
  <c r="I58" i="42"/>
  <c r="J25" i="42"/>
  <c r="H29" i="42"/>
  <c r="I27" i="42"/>
  <c r="H35" i="42"/>
  <c r="J57" i="42"/>
  <c r="K55" i="42"/>
  <c r="I153" i="42"/>
  <c r="I250" i="42" s="1"/>
  <c r="J187" i="42"/>
  <c r="K182" i="42"/>
  <c r="H57" i="42"/>
  <c r="G105" i="42"/>
  <c r="G102" i="42"/>
  <c r="G97" i="42"/>
  <c r="G95" i="42"/>
  <c r="G32" i="42"/>
  <c r="G112" i="42" s="1"/>
  <c r="G96" i="42"/>
  <c r="I152" i="42"/>
  <c r="J146" i="42"/>
  <c r="I24" i="42"/>
  <c r="H26" i="42"/>
  <c r="I36" i="42"/>
  <c r="G104" i="42"/>
  <c r="G111" i="42"/>
  <c r="G116" i="42"/>
  <c r="G121" i="42" s="1"/>
  <c r="J124" i="42"/>
  <c r="I129" i="42"/>
  <c r="H153" i="42"/>
  <c r="H250" i="42" s="1"/>
  <c r="G138" i="42"/>
  <c r="I131" i="42"/>
  <c r="H136" i="42"/>
  <c r="H138" i="42" s="1"/>
  <c r="H164" i="42"/>
  <c r="I158" i="42"/>
  <c r="J177" i="42"/>
  <c r="I180" i="42"/>
  <c r="I189" i="42" s="1"/>
  <c r="H230" i="42"/>
  <c r="H257" i="42" s="1"/>
  <c r="H200" i="42"/>
  <c r="I195" i="42"/>
  <c r="I217" i="42"/>
  <c r="I256" i="42" s="1"/>
  <c r="J206" i="42"/>
  <c r="I269" i="42"/>
  <c r="J266" i="42"/>
  <c r="H187" i="42"/>
  <c r="H189" i="42" s="1"/>
  <c r="I190" i="42" s="1"/>
  <c r="I254" i="42" s="1"/>
  <c r="I223" i="42"/>
  <c r="I116" i="41"/>
  <c r="I121" i="41" s="1"/>
  <c r="I104" i="41"/>
  <c r="I105" i="41"/>
  <c r="I102" i="41"/>
  <c r="I95" i="41"/>
  <c r="I108" i="41"/>
  <c r="I96" i="41"/>
  <c r="H32" i="41"/>
  <c r="H112" i="41" s="1"/>
  <c r="H114" i="41" s="1"/>
  <c r="G46" i="41"/>
  <c r="H96" i="41"/>
  <c r="I152" i="41"/>
  <c r="H29" i="41"/>
  <c r="I27" i="41"/>
  <c r="K223" i="41"/>
  <c r="I32" i="41"/>
  <c r="I112" i="41" s="1"/>
  <c r="H63" i="41"/>
  <c r="H60" i="41"/>
  <c r="H64" i="41" s="1"/>
  <c r="H61" i="41" s="1"/>
  <c r="I58" i="41"/>
  <c r="I97" i="41"/>
  <c r="K136" i="41"/>
  <c r="L131" i="41"/>
  <c r="I153" i="41"/>
  <c r="I250" i="41" s="1"/>
  <c r="H105" i="41"/>
  <c r="H102" i="41"/>
  <c r="H97" i="41"/>
  <c r="H106" i="41"/>
  <c r="H116" i="41"/>
  <c r="H104" i="41"/>
  <c r="H95" i="41"/>
  <c r="H35" i="41"/>
  <c r="H47" i="41"/>
  <c r="H100" i="41"/>
  <c r="H72" i="41"/>
  <c r="H77" i="41" s="1"/>
  <c r="G72" i="41"/>
  <c r="G77" i="41" s="1"/>
  <c r="G106" i="41"/>
  <c r="H129" i="41"/>
  <c r="H138" i="41" s="1"/>
  <c r="H136" i="41"/>
  <c r="J152" i="41"/>
  <c r="I187" i="41"/>
  <c r="H230" i="41"/>
  <c r="H257" i="41" s="1"/>
  <c r="I224" i="41"/>
  <c r="I124" i="41"/>
  <c r="I136" i="41"/>
  <c r="K146" i="41"/>
  <c r="J158" i="41"/>
  <c r="I164" i="41"/>
  <c r="H164" i="41"/>
  <c r="I165" i="41" s="1"/>
  <c r="I251" i="41" s="1"/>
  <c r="G189" i="41"/>
  <c r="G116" i="41"/>
  <c r="G121" i="41" s="1"/>
  <c r="G111" i="41"/>
  <c r="G108" i="41"/>
  <c r="G104" i="41"/>
  <c r="G105" i="41"/>
  <c r="G102" i="41"/>
  <c r="G97" i="41"/>
  <c r="G32" i="41"/>
  <c r="G112" i="41" s="1"/>
  <c r="I55" i="41"/>
  <c r="G96" i="41"/>
  <c r="J136" i="41"/>
  <c r="H153" i="41"/>
  <c r="H250" i="41" s="1"/>
  <c r="H189" i="41"/>
  <c r="J177" i="41"/>
  <c r="I180" i="41"/>
  <c r="J187" i="41"/>
  <c r="K182" i="41"/>
  <c r="H200" i="41"/>
  <c r="I195" i="41"/>
  <c r="I269" i="41"/>
  <c r="J266" i="41"/>
  <c r="I217" i="41"/>
  <c r="I256" i="41" s="1"/>
  <c r="J206" i="41"/>
  <c r="J25" i="40"/>
  <c r="G99" i="40"/>
  <c r="G98" i="40"/>
  <c r="G71" i="40"/>
  <c r="I72" i="40"/>
  <c r="I77" i="40" s="1"/>
  <c r="I47" i="40"/>
  <c r="I48" i="40"/>
  <c r="I44" i="40"/>
  <c r="I46" i="40" s="1"/>
  <c r="I100" i="40"/>
  <c r="I45" i="40"/>
  <c r="J124" i="40"/>
  <c r="I129" i="40"/>
  <c r="K223" i="40"/>
  <c r="J230" i="40"/>
  <c r="J257" i="40" s="1"/>
  <c r="I35" i="40"/>
  <c r="H44" i="40"/>
  <c r="I58" i="40"/>
  <c r="H60" i="40"/>
  <c r="H64" i="40" s="1"/>
  <c r="H61" i="40" s="1"/>
  <c r="H129" i="40"/>
  <c r="K131" i="40"/>
  <c r="I177" i="40"/>
  <c r="H180" i="40"/>
  <c r="H189" i="40" s="1"/>
  <c r="I217" i="40"/>
  <c r="I256" i="40" s="1"/>
  <c r="G32" i="40"/>
  <c r="G112" i="40" s="1"/>
  <c r="G114" i="40" s="1"/>
  <c r="H100" i="40"/>
  <c r="H72" i="40"/>
  <c r="H77" i="40" s="1"/>
  <c r="G96" i="40"/>
  <c r="G108" i="40"/>
  <c r="H136" i="40"/>
  <c r="I132" i="40"/>
  <c r="J132" i="40" s="1"/>
  <c r="K132" i="40" s="1"/>
  <c r="L132" i="40" s="1"/>
  <c r="M132" i="40" s="1"/>
  <c r="G95" i="40"/>
  <c r="G105" i="40"/>
  <c r="G102" i="40"/>
  <c r="G97" i="40"/>
  <c r="I24" i="40"/>
  <c r="H26" i="40"/>
  <c r="J27" i="40"/>
  <c r="I36" i="40"/>
  <c r="G49" i="40"/>
  <c r="G53" i="40" s="1"/>
  <c r="G50" i="40" s="1"/>
  <c r="G31" i="40" s="1"/>
  <c r="G30" i="40" s="1"/>
  <c r="J55" i="40"/>
  <c r="G106" i="40"/>
  <c r="I187" i="40"/>
  <c r="J182" i="40"/>
  <c r="J217" i="40"/>
  <c r="J256" i="40" s="1"/>
  <c r="K206" i="40"/>
  <c r="G138" i="40"/>
  <c r="I152" i="40"/>
  <c r="I200" i="40"/>
  <c r="J195" i="40"/>
  <c r="H255" i="40"/>
  <c r="J269" i="40"/>
  <c r="K266" i="40"/>
  <c r="K152" i="40"/>
  <c r="L146" i="40"/>
  <c r="H153" i="40"/>
  <c r="H250" i="40" s="1"/>
  <c r="H164" i="40"/>
  <c r="I158" i="40"/>
  <c r="I136" i="40"/>
  <c r="J152" i="40"/>
  <c r="G189" i="40"/>
  <c r="H217" i="40"/>
  <c r="H256" i="40" s="1"/>
  <c r="H269" i="40"/>
  <c r="I230" i="40"/>
  <c r="I257" i="40" s="1"/>
  <c r="G99" i="39"/>
  <c r="G98" i="39"/>
  <c r="G71" i="39"/>
  <c r="I35" i="39"/>
  <c r="I57" i="39"/>
  <c r="J55" i="39"/>
  <c r="H100" i="39"/>
  <c r="H72" i="39"/>
  <c r="H77" i="39" s="1"/>
  <c r="H48" i="39"/>
  <c r="H49" i="39" s="1"/>
  <c r="H44" i="39"/>
  <c r="H46" i="39" s="1"/>
  <c r="I25" i="39"/>
  <c r="G116" i="39"/>
  <c r="G121" i="39" s="1"/>
  <c r="G111" i="39"/>
  <c r="G108" i="39"/>
  <c r="G104" i="39"/>
  <c r="G105" i="39"/>
  <c r="G102" i="39"/>
  <c r="G95" i="39"/>
  <c r="G96" i="39"/>
  <c r="G97" i="39"/>
  <c r="G52" i="39"/>
  <c r="G49" i="39"/>
  <c r="G53" i="39" s="1"/>
  <c r="G50" i="39" s="1"/>
  <c r="G31" i="39" s="1"/>
  <c r="G30" i="39" s="1"/>
  <c r="G69" i="39" s="1"/>
  <c r="G74" i="39" s="1"/>
  <c r="J131" i="39"/>
  <c r="I136" i="39"/>
  <c r="H136" i="39"/>
  <c r="J158" i="39"/>
  <c r="I164" i="39"/>
  <c r="I217" i="39"/>
  <c r="I256" i="39" s="1"/>
  <c r="J206" i="39"/>
  <c r="H63" i="39"/>
  <c r="H60" i="39"/>
  <c r="H64" i="39" s="1"/>
  <c r="H61" i="39" s="1"/>
  <c r="I58" i="39"/>
  <c r="J24" i="39"/>
  <c r="H26" i="39"/>
  <c r="G32" i="39"/>
  <c r="G112" i="39" s="1"/>
  <c r="I36" i="39"/>
  <c r="H113" i="39"/>
  <c r="I146" i="39"/>
  <c r="H152" i="39"/>
  <c r="J187" i="39"/>
  <c r="K182" i="39"/>
  <c r="I177" i="39"/>
  <c r="H180" i="39"/>
  <c r="H187" i="39"/>
  <c r="I183" i="39"/>
  <c r="J183" i="39" s="1"/>
  <c r="K183" i="39" s="1"/>
  <c r="L183" i="39" s="1"/>
  <c r="M183" i="39" s="1"/>
  <c r="H129" i="39"/>
  <c r="H153" i="39"/>
  <c r="H250" i="39" s="1"/>
  <c r="I124" i="39"/>
  <c r="H164" i="39"/>
  <c r="H230" i="39"/>
  <c r="H257" i="39" s="1"/>
  <c r="I269" i="39"/>
  <c r="J266" i="39"/>
  <c r="H200" i="39"/>
  <c r="I195" i="39"/>
  <c r="I223" i="39"/>
  <c r="I35" i="38"/>
  <c r="J24" i="38"/>
  <c r="L25" i="38"/>
  <c r="K27" i="38"/>
  <c r="I28" i="38"/>
  <c r="J36" i="38"/>
  <c r="G44" i="38"/>
  <c r="G46" i="38" s="1"/>
  <c r="H45" i="38"/>
  <c r="G48" i="38"/>
  <c r="G49" i="38" s="1"/>
  <c r="G64" i="38"/>
  <c r="G61" i="38" s="1"/>
  <c r="H63" i="38"/>
  <c r="H72" i="38"/>
  <c r="H77" i="38" s="1"/>
  <c r="I136" i="38"/>
  <c r="H106" i="38"/>
  <c r="H116" i="38"/>
  <c r="H95" i="38"/>
  <c r="H104" i="38"/>
  <c r="H96" i="38"/>
  <c r="H32" i="38"/>
  <c r="H112" i="38" s="1"/>
  <c r="J63" i="38"/>
  <c r="J60" i="38"/>
  <c r="K58" i="38"/>
  <c r="H44" i="38"/>
  <c r="H48" i="38"/>
  <c r="H52" i="38" s="1"/>
  <c r="H60" i="38"/>
  <c r="H64" i="38" s="1"/>
  <c r="H61" i="38" s="1"/>
  <c r="I63" i="38"/>
  <c r="G100" i="38"/>
  <c r="H102" i="38"/>
  <c r="H105" i="38"/>
  <c r="I124" i="38"/>
  <c r="H129" i="38"/>
  <c r="H138" i="38" s="1"/>
  <c r="J136" i="38"/>
  <c r="K131" i="38"/>
  <c r="G105" i="38"/>
  <c r="G106" i="38"/>
  <c r="G111" i="38"/>
  <c r="G108" i="38"/>
  <c r="G116" i="38"/>
  <c r="G121" i="38" s="1"/>
  <c r="G95" i="38"/>
  <c r="G32" i="38"/>
  <c r="G112" i="38" s="1"/>
  <c r="I57" i="38"/>
  <c r="J55" i="38"/>
  <c r="G97" i="38"/>
  <c r="H108" i="38"/>
  <c r="H114" i="38"/>
  <c r="G96" i="38"/>
  <c r="H97" i="38"/>
  <c r="G104" i="38"/>
  <c r="G138" i="38"/>
  <c r="K158" i="38"/>
  <c r="I164" i="38"/>
  <c r="J159" i="38"/>
  <c r="K159" i="38" s="1"/>
  <c r="L159" i="38" s="1"/>
  <c r="M159" i="38" s="1"/>
  <c r="I152" i="38"/>
  <c r="I153" i="38" s="1"/>
  <c r="I250" i="38" s="1"/>
  <c r="J146" i="38"/>
  <c r="H189" i="38"/>
  <c r="I217" i="38"/>
  <c r="I256" i="38" s="1"/>
  <c r="J206" i="38"/>
  <c r="H164" i="38"/>
  <c r="G189" i="38"/>
  <c r="H190" i="38" s="1"/>
  <c r="H254" i="38" s="1"/>
  <c r="I182" i="38"/>
  <c r="H187" i="38"/>
  <c r="H200" i="38"/>
  <c r="I195" i="38"/>
  <c r="I269" i="38"/>
  <c r="J266" i="38"/>
  <c r="J177" i="38"/>
  <c r="I180" i="38"/>
  <c r="I223" i="38"/>
  <c r="I57" i="37"/>
  <c r="J55" i="37"/>
  <c r="J63" i="37"/>
  <c r="J60" i="37"/>
  <c r="K58" i="37"/>
  <c r="J25" i="37"/>
  <c r="H29" i="37"/>
  <c r="G32" i="37"/>
  <c r="G112" i="37" s="1"/>
  <c r="H64" i="37"/>
  <c r="H61" i="37" s="1"/>
  <c r="I63" i="37"/>
  <c r="I146" i="37"/>
  <c r="H152" i="37"/>
  <c r="I24" i="37"/>
  <c r="H26" i="37"/>
  <c r="I36" i="37"/>
  <c r="H57" i="37"/>
  <c r="I60" i="37"/>
  <c r="I64" i="37" s="1"/>
  <c r="I61" i="37" s="1"/>
  <c r="H200" i="37"/>
  <c r="I195" i="37"/>
  <c r="G116" i="37"/>
  <c r="G121" i="37" s="1"/>
  <c r="G111" i="37"/>
  <c r="G114" i="37" s="1"/>
  <c r="G108" i="37"/>
  <c r="G104" i="37"/>
  <c r="G96" i="37"/>
  <c r="G106" i="37"/>
  <c r="G97" i="37"/>
  <c r="I27" i="37"/>
  <c r="G100" i="37"/>
  <c r="G72" i="37"/>
  <c r="G77" i="37" s="1"/>
  <c r="G48" i="37"/>
  <c r="G52" i="37" s="1"/>
  <c r="G45" i="37"/>
  <c r="G44" i="37"/>
  <c r="G46" i="37" s="1"/>
  <c r="G102" i="37"/>
  <c r="G105" i="37"/>
  <c r="H129" i="37"/>
  <c r="H138" i="37" s="1"/>
  <c r="I124" i="37"/>
  <c r="J131" i="37"/>
  <c r="I136" i="37"/>
  <c r="I187" i="37"/>
  <c r="I158" i="37"/>
  <c r="G189" i="37"/>
  <c r="J182" i="37"/>
  <c r="I269" i="37"/>
  <c r="J266" i="37"/>
  <c r="H165" i="37"/>
  <c r="H251" i="37" s="1"/>
  <c r="J177" i="37"/>
  <c r="I180" i="37"/>
  <c r="I189" i="37" s="1"/>
  <c r="I217" i="37"/>
  <c r="I256" i="37" s="1"/>
  <c r="J206" i="37"/>
  <c r="H187" i="37"/>
  <c r="H189" i="37" s="1"/>
  <c r="I190" i="37" s="1"/>
  <c r="I254" i="37" s="1"/>
  <c r="I223" i="37"/>
  <c r="K25" i="36"/>
  <c r="I57" i="36"/>
  <c r="J55" i="36"/>
  <c r="J36" i="36"/>
  <c r="K58" i="36"/>
  <c r="J59" i="36"/>
  <c r="K59" i="36" s="1"/>
  <c r="L59" i="36" s="1"/>
  <c r="M59" i="36" s="1"/>
  <c r="I63" i="36"/>
  <c r="I60" i="36"/>
  <c r="I64" i="36" s="1"/>
  <c r="I61" i="36" s="1"/>
  <c r="I164" i="36"/>
  <c r="J158" i="36"/>
  <c r="H72" i="36"/>
  <c r="H77" i="36" s="1"/>
  <c r="H100" i="36"/>
  <c r="H113" i="36"/>
  <c r="I136" i="36"/>
  <c r="H152" i="36"/>
  <c r="I146" i="36"/>
  <c r="I217" i="36"/>
  <c r="I256" i="36" s="1"/>
  <c r="J206" i="36"/>
  <c r="H217" i="36"/>
  <c r="H256" i="36" s="1"/>
  <c r="I26" i="36"/>
  <c r="J24" i="36"/>
  <c r="H129" i="36"/>
  <c r="I125" i="36"/>
  <c r="J125" i="36" s="1"/>
  <c r="K125" i="36" s="1"/>
  <c r="L125" i="36" s="1"/>
  <c r="M125" i="36" s="1"/>
  <c r="I165" i="36"/>
  <c r="I251" i="36" s="1"/>
  <c r="G116" i="36"/>
  <c r="G121" i="36" s="1"/>
  <c r="G105" i="36"/>
  <c r="G102" i="36"/>
  <c r="G97" i="36"/>
  <c r="G106" i="36"/>
  <c r="H116" i="36"/>
  <c r="H106" i="36"/>
  <c r="H95" i="36"/>
  <c r="G96" i="36"/>
  <c r="H97" i="36"/>
  <c r="G108" i="36"/>
  <c r="G111" i="36"/>
  <c r="I129" i="36"/>
  <c r="I138" i="36" s="1"/>
  <c r="J124" i="36"/>
  <c r="K131" i="36"/>
  <c r="J136" i="36"/>
  <c r="J180" i="36"/>
  <c r="K177" i="36"/>
  <c r="P102" i="36"/>
  <c r="Q102" i="36" s="1"/>
  <c r="I27" i="36"/>
  <c r="G32" i="36"/>
  <c r="G112" i="36" s="1"/>
  <c r="H44" i="36"/>
  <c r="H47" i="36"/>
  <c r="G72" i="36"/>
  <c r="G77" i="36" s="1"/>
  <c r="G48" i="36"/>
  <c r="G44" i="36"/>
  <c r="G46" i="36" s="1"/>
  <c r="G95" i="36"/>
  <c r="H96" i="36"/>
  <c r="H108" i="36"/>
  <c r="H114" i="36"/>
  <c r="H165" i="36"/>
  <c r="H251" i="36" s="1"/>
  <c r="I187" i="36"/>
  <c r="J182" i="36"/>
  <c r="H136" i="36"/>
  <c r="H200" i="36"/>
  <c r="I195" i="36"/>
  <c r="I230" i="36"/>
  <c r="I257" i="36" s="1"/>
  <c r="J223" i="36"/>
  <c r="I224" i="36"/>
  <c r="J224" i="36" s="1"/>
  <c r="K224" i="36" s="1"/>
  <c r="L224" i="36" s="1"/>
  <c r="M224" i="36" s="1"/>
  <c r="H230" i="36"/>
  <c r="H257" i="36" s="1"/>
  <c r="I180" i="36"/>
  <c r="I189" i="36" s="1"/>
  <c r="G234" i="36"/>
  <c r="G273" i="36"/>
  <c r="G274" i="36" s="1"/>
  <c r="I269" i="36"/>
  <c r="J266" i="36"/>
  <c r="C12" i="60"/>
  <c r="J11" i="60"/>
  <c r="I12" i="60"/>
  <c r="J10" i="60"/>
  <c r="F174" i="61"/>
  <c r="F179" i="61"/>
  <c r="L8" i="3"/>
  <c r="L86" i="3" s="1"/>
  <c r="L170" i="3" s="1"/>
  <c r="K15" i="1" l="1"/>
  <c r="J164" i="38"/>
  <c r="G114" i="39"/>
  <c r="H190" i="40"/>
  <c r="H254" i="40" s="1"/>
  <c r="H258" i="40" s="1"/>
  <c r="I52" i="42"/>
  <c r="J230" i="44"/>
  <c r="J257" i="44" s="1"/>
  <c r="K230" i="44"/>
  <c r="K257" i="44" s="1"/>
  <c r="I189" i="50"/>
  <c r="I190" i="50" s="1"/>
  <c r="I254" i="50" s="1"/>
  <c r="I57" i="49"/>
  <c r="G114" i="47"/>
  <c r="G99" i="76"/>
  <c r="G71" i="76"/>
  <c r="G98" i="76"/>
  <c r="J63" i="36"/>
  <c r="G53" i="38"/>
  <c r="G50" i="38" s="1"/>
  <c r="G31" i="38" s="1"/>
  <c r="G30" i="38" s="1"/>
  <c r="G69" i="38" s="1"/>
  <c r="G74" i="38" s="1"/>
  <c r="J153" i="40"/>
  <c r="J250" i="40" s="1"/>
  <c r="I153" i="40"/>
  <c r="I250" i="40" s="1"/>
  <c r="H46" i="44"/>
  <c r="G114" i="50"/>
  <c r="K8" i="61"/>
  <c r="K87" i="61" s="1"/>
  <c r="H190" i="37"/>
  <c r="H254" i="37" s="1"/>
  <c r="G49" i="37"/>
  <c r="G53" i="37" s="1"/>
  <c r="G50" i="37" s="1"/>
  <c r="G31" i="37" s="1"/>
  <c r="G30" i="37" s="1"/>
  <c r="J165" i="38"/>
  <c r="J251" i="38" s="1"/>
  <c r="I138" i="50"/>
  <c r="I46" i="50"/>
  <c r="H138" i="48"/>
  <c r="H46" i="38"/>
  <c r="H189" i="39"/>
  <c r="H53" i="39"/>
  <c r="H50" i="39" s="1"/>
  <c r="I190" i="44"/>
  <c r="I254" i="44" s="1"/>
  <c r="J129" i="48"/>
  <c r="I189" i="47"/>
  <c r="I190" i="47" s="1"/>
  <c r="I254" i="47" s="1"/>
  <c r="G114" i="71"/>
  <c r="J55" i="48"/>
  <c r="I57" i="48"/>
  <c r="I57" i="47"/>
  <c r="J55" i="47"/>
  <c r="H100" i="50"/>
  <c r="H47" i="50"/>
  <c r="H52" i="50" s="1"/>
  <c r="I60" i="71"/>
  <c r="I63" i="71"/>
  <c r="J58" i="71"/>
  <c r="J36" i="47"/>
  <c r="H138" i="45"/>
  <c r="H114" i="45"/>
  <c r="H46" i="71"/>
  <c r="I180" i="72"/>
  <c r="I189" i="72" s="1"/>
  <c r="K138" i="74"/>
  <c r="H100" i="75"/>
  <c r="H72" i="75"/>
  <c r="H77" i="75" s="1"/>
  <c r="H47" i="75"/>
  <c r="H45" i="75"/>
  <c r="H46" i="75" s="1"/>
  <c r="G46" i="73"/>
  <c r="J35" i="45"/>
  <c r="K27" i="45"/>
  <c r="H44" i="41"/>
  <c r="H46" i="41" s="1"/>
  <c r="H45" i="41"/>
  <c r="H48" i="41"/>
  <c r="G52" i="46"/>
  <c r="G49" i="46"/>
  <c r="H45" i="47"/>
  <c r="H46" i="47" s="1"/>
  <c r="H47" i="47"/>
  <c r="H49" i="47" s="1"/>
  <c r="H48" i="40"/>
  <c r="H47" i="40"/>
  <c r="H45" i="40"/>
  <c r="H46" i="40" s="1"/>
  <c r="J26" i="41"/>
  <c r="K24" i="41"/>
  <c r="I153" i="45"/>
  <c r="I250" i="45" s="1"/>
  <c r="G53" i="63"/>
  <c r="G50" i="63" s="1"/>
  <c r="G31" i="63" s="1"/>
  <c r="G30" i="63" s="1"/>
  <c r="H53" i="63"/>
  <c r="H50" i="63" s="1"/>
  <c r="I189" i="70"/>
  <c r="H190" i="70"/>
  <c r="H254" i="70" s="1"/>
  <c r="J180" i="72"/>
  <c r="H234" i="72"/>
  <c r="I190" i="72"/>
  <c r="I254" i="72" s="1"/>
  <c r="I190" i="73"/>
  <c r="I254" i="73" s="1"/>
  <c r="I230" i="74"/>
  <c r="I257" i="74" s="1"/>
  <c r="M153" i="74"/>
  <c r="M250" i="74" s="1"/>
  <c r="J153" i="74"/>
  <c r="J250" i="74" s="1"/>
  <c r="H190" i="75"/>
  <c r="H254" i="75" s="1"/>
  <c r="G49" i="73"/>
  <c r="G53" i="73" s="1"/>
  <c r="G50" i="73" s="1"/>
  <c r="G31" i="73" s="1"/>
  <c r="G30" i="73" s="1"/>
  <c r="G52" i="73"/>
  <c r="H45" i="48"/>
  <c r="H46" i="48" s="1"/>
  <c r="H47" i="48"/>
  <c r="G46" i="46"/>
  <c r="J36" i="41"/>
  <c r="J57" i="45"/>
  <c r="K55" i="45"/>
  <c r="G49" i="41"/>
  <c r="G53" i="41" s="1"/>
  <c r="G50" i="41" s="1"/>
  <c r="G31" i="41" s="1"/>
  <c r="G30" i="41" s="1"/>
  <c r="H138" i="74"/>
  <c r="G53" i="76"/>
  <c r="G50" i="76" s="1"/>
  <c r="G31" i="76" s="1"/>
  <c r="G30" i="76" s="1"/>
  <c r="J29" i="74"/>
  <c r="K27" i="74"/>
  <c r="J35" i="74"/>
  <c r="G52" i="72"/>
  <c r="G49" i="72"/>
  <c r="G53" i="72" s="1"/>
  <c r="G50" i="72" s="1"/>
  <c r="G31" i="72" s="1"/>
  <c r="G30" i="72" s="1"/>
  <c r="H72" i="72"/>
  <c r="H77" i="72" s="1"/>
  <c r="H47" i="72"/>
  <c r="H49" i="72" s="1"/>
  <c r="H72" i="76"/>
  <c r="H77" i="76" s="1"/>
  <c r="H45" i="76"/>
  <c r="H46" i="76" s="1"/>
  <c r="H100" i="76"/>
  <c r="H47" i="76"/>
  <c r="H97" i="70"/>
  <c r="H96" i="70"/>
  <c r="K180" i="44"/>
  <c r="L177" i="44"/>
  <c r="H45" i="36"/>
  <c r="H46" i="36" s="1"/>
  <c r="H48" i="36"/>
  <c r="I26" i="38"/>
  <c r="I29" i="39"/>
  <c r="J27" i="39"/>
  <c r="I29" i="76"/>
  <c r="G107" i="76"/>
  <c r="G69" i="76"/>
  <c r="H255" i="76"/>
  <c r="H234" i="76"/>
  <c r="J57" i="76"/>
  <c r="K55" i="76"/>
  <c r="J187" i="76"/>
  <c r="K182" i="76"/>
  <c r="I100" i="76"/>
  <c r="I47" i="76"/>
  <c r="I48" i="76"/>
  <c r="I44" i="76"/>
  <c r="I45" i="76"/>
  <c r="I72" i="76"/>
  <c r="I77" i="76" s="1"/>
  <c r="J25" i="76"/>
  <c r="I230" i="76"/>
  <c r="I257" i="76" s="1"/>
  <c r="J223" i="76"/>
  <c r="J269" i="76"/>
  <c r="K266" i="76"/>
  <c r="H190" i="76"/>
  <c r="H254" i="76" s="1"/>
  <c r="I165" i="76"/>
  <c r="I251" i="76" s="1"/>
  <c r="J35" i="76"/>
  <c r="K27" i="76"/>
  <c r="J29" i="76"/>
  <c r="H49" i="76"/>
  <c r="H52" i="76"/>
  <c r="I63" i="76"/>
  <c r="I60" i="76"/>
  <c r="I64" i="76" s="1"/>
  <c r="I61" i="76" s="1"/>
  <c r="J58" i="76"/>
  <c r="G70" i="76"/>
  <c r="G76" i="76"/>
  <c r="G75" i="76" s="1"/>
  <c r="G79" i="76"/>
  <c r="G95" i="76" s="1"/>
  <c r="I26" i="76"/>
  <c r="J24" i="76"/>
  <c r="G109" i="76"/>
  <c r="J158" i="76"/>
  <c r="I164" i="76"/>
  <c r="J124" i="76"/>
  <c r="I129" i="76"/>
  <c r="I138" i="76" s="1"/>
  <c r="J180" i="76"/>
  <c r="K177" i="76"/>
  <c r="J152" i="76"/>
  <c r="K146" i="76"/>
  <c r="J153" i="76"/>
  <c r="J250" i="76" s="1"/>
  <c r="H153" i="76"/>
  <c r="H250" i="76" s="1"/>
  <c r="H105" i="76"/>
  <c r="H106" i="76"/>
  <c r="H97" i="76"/>
  <c r="H32" i="76"/>
  <c r="H112" i="76" s="1"/>
  <c r="H108" i="76"/>
  <c r="H96" i="76"/>
  <c r="H116" i="76"/>
  <c r="H104" i="76"/>
  <c r="L36" i="76"/>
  <c r="I200" i="76"/>
  <c r="J195" i="76"/>
  <c r="J217" i="76"/>
  <c r="J256" i="76" s="1"/>
  <c r="K206" i="76"/>
  <c r="K136" i="76"/>
  <c r="L131" i="76"/>
  <c r="G107" i="75"/>
  <c r="G109" i="75" s="1"/>
  <c r="G140" i="75" s="1"/>
  <c r="G69" i="75"/>
  <c r="G74" i="75" s="1"/>
  <c r="I230" i="75"/>
  <c r="I257" i="75" s="1"/>
  <c r="J223" i="75"/>
  <c r="I63" i="75"/>
  <c r="I60" i="75"/>
  <c r="I64" i="75" s="1"/>
  <c r="I61" i="75" s="1"/>
  <c r="J58" i="75"/>
  <c r="J269" i="75"/>
  <c r="K266" i="75"/>
  <c r="J146" i="75"/>
  <c r="I152" i="75"/>
  <c r="J164" i="75"/>
  <c r="J165" i="75" s="1"/>
  <c r="J251" i="75" s="1"/>
  <c r="K158" i="75"/>
  <c r="H49" i="75"/>
  <c r="H52" i="75"/>
  <c r="G76" i="75"/>
  <c r="G75" i="75" s="1"/>
  <c r="G79" i="75"/>
  <c r="G70" i="75"/>
  <c r="J24" i="75"/>
  <c r="I26" i="75"/>
  <c r="K36" i="75"/>
  <c r="H255" i="75"/>
  <c r="H258" i="75" s="1"/>
  <c r="H234" i="75"/>
  <c r="I98" i="75"/>
  <c r="I71" i="75"/>
  <c r="I99" i="75"/>
  <c r="J180" i="75"/>
  <c r="J189" i="75" s="1"/>
  <c r="K177" i="75"/>
  <c r="K55" i="75"/>
  <c r="J57" i="75"/>
  <c r="I153" i="75"/>
  <c r="I250" i="75" s="1"/>
  <c r="K131" i="75"/>
  <c r="J136" i="75"/>
  <c r="I52" i="75"/>
  <c r="I49" i="75"/>
  <c r="I53" i="75" s="1"/>
  <c r="I50" i="75" s="1"/>
  <c r="H105" i="75"/>
  <c r="H102" i="75"/>
  <c r="H97" i="75"/>
  <c r="H104" i="75"/>
  <c r="H95" i="75"/>
  <c r="H32" i="75"/>
  <c r="H112" i="75" s="1"/>
  <c r="H106" i="75"/>
  <c r="H114" i="75"/>
  <c r="H108" i="75"/>
  <c r="H116" i="75"/>
  <c r="H96" i="75"/>
  <c r="G114" i="75"/>
  <c r="J25" i="75"/>
  <c r="I200" i="75"/>
  <c r="J195" i="75"/>
  <c r="J217" i="75"/>
  <c r="J256" i="75" s="1"/>
  <c r="K206" i="75"/>
  <c r="J35" i="75"/>
  <c r="J29" i="75"/>
  <c r="K27" i="75"/>
  <c r="L182" i="75"/>
  <c r="K187" i="75"/>
  <c r="J124" i="75"/>
  <c r="I129" i="75"/>
  <c r="I138" i="75" s="1"/>
  <c r="G107" i="74"/>
  <c r="G109" i="74" s="1"/>
  <c r="G140" i="74" s="1"/>
  <c r="G69" i="74"/>
  <c r="G74" i="74" s="1"/>
  <c r="J269" i="74"/>
  <c r="K266" i="74"/>
  <c r="I200" i="74"/>
  <c r="J195" i="74"/>
  <c r="P102" i="74"/>
  <c r="Q102" i="74" s="1"/>
  <c r="I138" i="74"/>
  <c r="I116" i="74"/>
  <c r="I121" i="74" s="1"/>
  <c r="I95" i="74"/>
  <c r="I105" i="74"/>
  <c r="I102" i="74"/>
  <c r="I108" i="74"/>
  <c r="I96" i="74"/>
  <c r="I97" i="74"/>
  <c r="I32" i="74"/>
  <c r="I112" i="74" s="1"/>
  <c r="I104" i="74"/>
  <c r="H234" i="74"/>
  <c r="H255" i="74"/>
  <c r="H258" i="74" s="1"/>
  <c r="J217" i="74"/>
  <c r="J256" i="74" s="1"/>
  <c r="K206" i="74"/>
  <c r="K153" i="74"/>
  <c r="K250" i="74" s="1"/>
  <c r="J25" i="74"/>
  <c r="H165" i="74"/>
  <c r="H251" i="74" s="1"/>
  <c r="H114" i="74"/>
  <c r="L24" i="74"/>
  <c r="H46" i="74"/>
  <c r="I190" i="74"/>
  <c r="I254" i="74" s="1"/>
  <c r="J99" i="74"/>
  <c r="J71" i="74"/>
  <c r="J98" i="74"/>
  <c r="J52" i="74"/>
  <c r="J49" i="74"/>
  <c r="J53" i="74" s="1"/>
  <c r="J50" i="74" s="1"/>
  <c r="I52" i="74"/>
  <c r="I49" i="74"/>
  <c r="J230" i="74"/>
  <c r="J257" i="74" s="1"/>
  <c r="K223" i="74"/>
  <c r="I63" i="74"/>
  <c r="J58" i="74"/>
  <c r="I60" i="74"/>
  <c r="I64" i="74" s="1"/>
  <c r="I61" i="74" s="1"/>
  <c r="L177" i="74"/>
  <c r="K180" i="74"/>
  <c r="K57" i="74"/>
  <c r="L55" i="74"/>
  <c r="H52" i="74"/>
  <c r="H49" i="74"/>
  <c r="H53" i="74" s="1"/>
  <c r="H50" i="74" s="1"/>
  <c r="H31" i="74" s="1"/>
  <c r="H30" i="74" s="1"/>
  <c r="G76" i="74"/>
  <c r="G75" i="74" s="1"/>
  <c r="G79" i="74"/>
  <c r="G70" i="74"/>
  <c r="L153" i="74"/>
  <c r="L250" i="74" s="1"/>
  <c r="H153" i="74"/>
  <c r="H250" i="74" s="1"/>
  <c r="I153" i="74"/>
  <c r="I250" i="74" s="1"/>
  <c r="H121" i="74"/>
  <c r="P116" i="74"/>
  <c r="Q116" i="74" s="1"/>
  <c r="G114" i="74"/>
  <c r="K182" i="74"/>
  <c r="J187" i="74"/>
  <c r="J189" i="74"/>
  <c r="K36" i="74"/>
  <c r="J164" i="74"/>
  <c r="J165" i="74" s="1"/>
  <c r="J251" i="74" s="1"/>
  <c r="K158" i="74"/>
  <c r="L136" i="74"/>
  <c r="L138" i="74" s="1"/>
  <c r="M131" i="74"/>
  <c r="M136" i="74" s="1"/>
  <c r="M138" i="74" s="1"/>
  <c r="I46" i="74"/>
  <c r="G107" i="73"/>
  <c r="I45" i="73"/>
  <c r="I72" i="73"/>
  <c r="I77" i="73" s="1"/>
  <c r="I47" i="73"/>
  <c r="I100" i="73"/>
  <c r="I48" i="73"/>
  <c r="I44" i="73"/>
  <c r="I230" i="73"/>
  <c r="I257" i="73" s="1"/>
  <c r="J223" i="73"/>
  <c r="J269" i="73"/>
  <c r="K266" i="73"/>
  <c r="H190" i="73"/>
  <c r="H254" i="73" s="1"/>
  <c r="G69" i="73"/>
  <c r="G74" i="73" s="1"/>
  <c r="P116" i="73"/>
  <c r="Q116" i="73" s="1"/>
  <c r="H121" i="73"/>
  <c r="J29" i="73"/>
  <c r="J35" i="73"/>
  <c r="K27" i="73"/>
  <c r="H255" i="73"/>
  <c r="H234" i="73"/>
  <c r="K124" i="73"/>
  <c r="J129" i="73"/>
  <c r="J187" i="73"/>
  <c r="K182" i="73"/>
  <c r="H98" i="73"/>
  <c r="H71" i="73"/>
  <c r="H99" i="73"/>
  <c r="J180" i="73"/>
  <c r="K177" i="73"/>
  <c r="G109" i="73"/>
  <c r="G140" i="73" s="1"/>
  <c r="J131" i="73"/>
  <c r="I136" i="73"/>
  <c r="I138" i="73" s="1"/>
  <c r="I63" i="73"/>
  <c r="J58" i="73"/>
  <c r="I60" i="73"/>
  <c r="I64" i="73" s="1"/>
  <c r="I61" i="73" s="1"/>
  <c r="M146" i="73"/>
  <c r="M152" i="73" s="1"/>
  <c r="L152" i="73"/>
  <c r="M153" i="73" s="1"/>
  <c r="M250" i="73" s="1"/>
  <c r="H52" i="73"/>
  <c r="H49" i="73"/>
  <c r="H53" i="73" s="1"/>
  <c r="H50" i="73" s="1"/>
  <c r="H31" i="73" s="1"/>
  <c r="H30" i="73" s="1"/>
  <c r="I114" i="73"/>
  <c r="J36" i="73"/>
  <c r="I200" i="73"/>
  <c r="J195" i="73"/>
  <c r="J217" i="73"/>
  <c r="J256" i="73" s="1"/>
  <c r="K206" i="73"/>
  <c r="H165" i="73"/>
  <c r="H251" i="73" s="1"/>
  <c r="K25" i="73"/>
  <c r="I153" i="73"/>
  <c r="I250" i="73" s="1"/>
  <c r="P102" i="73"/>
  <c r="Q102" i="73" s="1"/>
  <c r="I164" i="73"/>
  <c r="I165" i="73" s="1"/>
  <c r="I251" i="73" s="1"/>
  <c r="J158" i="73"/>
  <c r="J57" i="73"/>
  <c r="K55" i="73"/>
  <c r="J26" i="73"/>
  <c r="K24" i="73"/>
  <c r="L153" i="73"/>
  <c r="L250" i="73" s="1"/>
  <c r="H190" i="72"/>
  <c r="H254" i="72" s="1"/>
  <c r="H258" i="72" s="1"/>
  <c r="J187" i="72"/>
  <c r="K182" i="72"/>
  <c r="I255" i="72"/>
  <c r="J146" i="72"/>
  <c r="I152" i="72"/>
  <c r="G76" i="72"/>
  <c r="G75" i="72" s="1"/>
  <c r="G79" i="72"/>
  <c r="G70" i="72"/>
  <c r="I26" i="72"/>
  <c r="J24" i="72"/>
  <c r="I72" i="72"/>
  <c r="I77" i="72" s="1"/>
  <c r="I100" i="72"/>
  <c r="I45" i="72"/>
  <c r="I44" i="72"/>
  <c r="I48" i="72"/>
  <c r="I47" i="72"/>
  <c r="K180" i="72"/>
  <c r="L177" i="72"/>
  <c r="J189" i="72"/>
  <c r="J200" i="72"/>
  <c r="K195" i="72"/>
  <c r="K164" i="72"/>
  <c r="L158" i="72"/>
  <c r="K124" i="72"/>
  <c r="J129" i="72"/>
  <c r="G107" i="72"/>
  <c r="G109" i="72" s="1"/>
  <c r="L25" i="72"/>
  <c r="I230" i="72"/>
  <c r="I257" i="72" s="1"/>
  <c r="J223" i="72"/>
  <c r="I165" i="72"/>
  <c r="I251" i="72" s="1"/>
  <c r="H165" i="72"/>
  <c r="H251" i="72" s="1"/>
  <c r="K269" i="72"/>
  <c r="L266" i="72"/>
  <c r="J165" i="72"/>
  <c r="J251" i="72" s="1"/>
  <c r="H153" i="72"/>
  <c r="H250" i="72" s="1"/>
  <c r="G114" i="72"/>
  <c r="J57" i="72"/>
  <c r="K55" i="72"/>
  <c r="J29" i="72"/>
  <c r="K27" i="72"/>
  <c r="J35" i="72"/>
  <c r="K217" i="72"/>
  <c r="K256" i="72" s="1"/>
  <c r="L206" i="72"/>
  <c r="J190" i="72"/>
  <c r="J254" i="72" s="1"/>
  <c r="K165" i="72"/>
  <c r="K251" i="72" s="1"/>
  <c r="I136" i="72"/>
  <c r="I138" i="72" s="1"/>
  <c r="J131" i="72"/>
  <c r="H46" i="72"/>
  <c r="H53" i="72" s="1"/>
  <c r="H50" i="72" s="1"/>
  <c r="H31" i="72" s="1"/>
  <c r="H30" i="72" s="1"/>
  <c r="G69" i="72"/>
  <c r="G74" i="72" s="1"/>
  <c r="I63" i="72"/>
  <c r="I60" i="72"/>
  <c r="I64" i="72" s="1"/>
  <c r="I61" i="72" s="1"/>
  <c r="J58" i="72"/>
  <c r="J36" i="72"/>
  <c r="H116" i="72"/>
  <c r="H105" i="72"/>
  <c r="H102" i="72"/>
  <c r="H97" i="72"/>
  <c r="H106" i="72"/>
  <c r="H96" i="72"/>
  <c r="H104" i="72"/>
  <c r="H114" i="72"/>
  <c r="H108" i="72"/>
  <c r="H95" i="72"/>
  <c r="H32" i="72"/>
  <c r="H112" i="72" s="1"/>
  <c r="G107" i="71"/>
  <c r="G109" i="71" s="1"/>
  <c r="G140" i="71" s="1"/>
  <c r="G69" i="71"/>
  <c r="G74" i="71" s="1"/>
  <c r="K164" i="71"/>
  <c r="L158" i="71"/>
  <c r="K165" i="71"/>
  <c r="K251" i="71" s="1"/>
  <c r="J138" i="71"/>
  <c r="I26" i="71"/>
  <c r="J24" i="71"/>
  <c r="H49" i="71"/>
  <c r="H53" i="71" s="1"/>
  <c r="H50" i="71" s="1"/>
  <c r="H31" i="71" s="1"/>
  <c r="H30" i="71" s="1"/>
  <c r="H52" i="71"/>
  <c r="M25" i="71"/>
  <c r="I230" i="71"/>
  <c r="I257" i="71" s="1"/>
  <c r="J223" i="71"/>
  <c r="J217" i="71"/>
  <c r="J256" i="71" s="1"/>
  <c r="K206" i="71"/>
  <c r="I165" i="71"/>
  <c r="I251" i="71" s="1"/>
  <c r="H106" i="71"/>
  <c r="H95" i="71"/>
  <c r="H116" i="71"/>
  <c r="H114" i="71"/>
  <c r="H108" i="71"/>
  <c r="H104" i="71"/>
  <c r="H96" i="71"/>
  <c r="H105" i="71"/>
  <c r="H102" i="71"/>
  <c r="H32" i="71"/>
  <c r="H112" i="71" s="1"/>
  <c r="H97" i="71"/>
  <c r="H98" i="71"/>
  <c r="H99" i="71"/>
  <c r="H71" i="71"/>
  <c r="I200" i="71"/>
  <c r="J195" i="71"/>
  <c r="J269" i="71"/>
  <c r="K266" i="71"/>
  <c r="I189" i="71"/>
  <c r="J36" i="71"/>
  <c r="J57" i="71"/>
  <c r="K55" i="71"/>
  <c r="K146" i="71"/>
  <c r="J152" i="71"/>
  <c r="J153" i="71" s="1"/>
  <c r="J250" i="71" s="1"/>
  <c r="G79" i="71"/>
  <c r="G70" i="71"/>
  <c r="G76" i="71"/>
  <c r="G75" i="71" s="1"/>
  <c r="H255" i="71"/>
  <c r="H234" i="71"/>
  <c r="J180" i="71"/>
  <c r="K177" i="71"/>
  <c r="H258" i="71"/>
  <c r="M124" i="71"/>
  <c r="M129" i="71" s="1"/>
  <c r="L129" i="71"/>
  <c r="I100" i="71"/>
  <c r="I47" i="71"/>
  <c r="I72" i="71"/>
  <c r="I77" i="71" s="1"/>
  <c r="I48" i="71"/>
  <c r="I45" i="71"/>
  <c r="I44" i="71"/>
  <c r="I46" i="71" s="1"/>
  <c r="J187" i="71"/>
  <c r="K182" i="71"/>
  <c r="J29" i="71"/>
  <c r="K27" i="71"/>
  <c r="J35" i="71"/>
  <c r="L131" i="71"/>
  <c r="K136" i="71"/>
  <c r="K138" i="71" s="1"/>
  <c r="I64" i="71"/>
  <c r="I61" i="71" s="1"/>
  <c r="H255" i="70"/>
  <c r="H234" i="70"/>
  <c r="K124" i="70"/>
  <c r="J129" i="70"/>
  <c r="K36" i="70"/>
  <c r="P102" i="70"/>
  <c r="Q102" i="70" s="1"/>
  <c r="K25" i="70"/>
  <c r="J131" i="70"/>
  <c r="I136" i="70"/>
  <c r="H100" i="70"/>
  <c r="H72" i="70"/>
  <c r="H77" i="70" s="1"/>
  <c r="H45" i="70"/>
  <c r="H47" i="70"/>
  <c r="H44" i="70"/>
  <c r="H46" i="70" s="1"/>
  <c r="H48" i="70"/>
  <c r="I29" i="70"/>
  <c r="J27" i="70"/>
  <c r="I35" i="70"/>
  <c r="I200" i="70"/>
  <c r="J195" i="70"/>
  <c r="J217" i="70"/>
  <c r="J256" i="70" s="1"/>
  <c r="K206" i="70"/>
  <c r="P116" i="70"/>
  <c r="Q116" i="70" s="1"/>
  <c r="H121" i="70"/>
  <c r="I57" i="70"/>
  <c r="I64" i="70" s="1"/>
  <c r="I61" i="70" s="1"/>
  <c r="J55" i="70"/>
  <c r="I230" i="70"/>
  <c r="I257" i="70" s="1"/>
  <c r="J223" i="70"/>
  <c r="J269" i="70"/>
  <c r="K266" i="70"/>
  <c r="H258" i="70"/>
  <c r="I138" i="70"/>
  <c r="I105" i="70"/>
  <c r="I102" i="70"/>
  <c r="I97" i="70"/>
  <c r="I95" i="70"/>
  <c r="I104" i="70"/>
  <c r="I32" i="70"/>
  <c r="I112" i="70" s="1"/>
  <c r="I116" i="70"/>
  <c r="I121" i="70" s="1"/>
  <c r="I108" i="70"/>
  <c r="I96" i="70"/>
  <c r="J187" i="70"/>
  <c r="K182" i="70"/>
  <c r="I164" i="70"/>
  <c r="J158" i="70"/>
  <c r="G46" i="70"/>
  <c r="G53" i="70"/>
  <c r="G50" i="70" s="1"/>
  <c r="G31" i="70" s="1"/>
  <c r="G30" i="70" s="1"/>
  <c r="I190" i="70"/>
  <c r="I254" i="70" s="1"/>
  <c r="J180" i="70"/>
  <c r="J189" i="70" s="1"/>
  <c r="J190" i="70" s="1"/>
  <c r="J254" i="70" s="1"/>
  <c r="K177" i="70"/>
  <c r="J153" i="70"/>
  <c r="J250" i="70" s="1"/>
  <c r="J26" i="70"/>
  <c r="K24" i="70"/>
  <c r="H114" i="70"/>
  <c r="I165" i="70"/>
  <c r="I251" i="70" s="1"/>
  <c r="J60" i="70"/>
  <c r="K58" i="70"/>
  <c r="J63" i="70"/>
  <c r="M146" i="70"/>
  <c r="M152" i="70" s="1"/>
  <c r="L152" i="70"/>
  <c r="M153" i="70" s="1"/>
  <c r="M250" i="70" s="1"/>
  <c r="I165" i="69"/>
  <c r="I251" i="69" s="1"/>
  <c r="H165" i="69"/>
  <c r="H251" i="69" s="1"/>
  <c r="J56" i="69"/>
  <c r="I57" i="69"/>
  <c r="J152" i="69"/>
  <c r="K146" i="69"/>
  <c r="G107" i="69"/>
  <c r="G109" i="69" s="1"/>
  <c r="G140" i="69" s="1"/>
  <c r="J180" i="69"/>
  <c r="K177" i="69"/>
  <c r="I63" i="69"/>
  <c r="I60" i="69"/>
  <c r="J58" i="69"/>
  <c r="M55" i="69"/>
  <c r="H190" i="69"/>
  <c r="H254" i="69" s="1"/>
  <c r="H258" i="69" s="1"/>
  <c r="I35" i="69"/>
  <c r="J27" i="69"/>
  <c r="I29" i="69"/>
  <c r="I200" i="69"/>
  <c r="J195" i="69"/>
  <c r="H116" i="69"/>
  <c r="H105" i="69"/>
  <c r="H102" i="69"/>
  <c r="H97" i="69"/>
  <c r="H106" i="69"/>
  <c r="H95" i="69"/>
  <c r="H32" i="69"/>
  <c r="H112" i="69" s="1"/>
  <c r="H108" i="69"/>
  <c r="H96" i="69"/>
  <c r="H104" i="69"/>
  <c r="K36" i="69"/>
  <c r="L182" i="69"/>
  <c r="K187" i="69"/>
  <c r="J165" i="69"/>
  <c r="J251" i="69" s="1"/>
  <c r="K217" i="69"/>
  <c r="K256" i="69" s="1"/>
  <c r="L206" i="69"/>
  <c r="K269" i="69"/>
  <c r="L266" i="69"/>
  <c r="J131" i="69"/>
  <c r="I136" i="69"/>
  <c r="I138" i="69" s="1"/>
  <c r="G71" i="69"/>
  <c r="G98" i="69"/>
  <c r="G99" i="69"/>
  <c r="J25" i="69"/>
  <c r="K164" i="69"/>
  <c r="L158" i="69"/>
  <c r="J187" i="69"/>
  <c r="H138" i="69"/>
  <c r="H52" i="69"/>
  <c r="H49" i="69"/>
  <c r="J223" i="69"/>
  <c r="I230" i="69"/>
  <c r="I257" i="69" s="1"/>
  <c r="L24" i="69"/>
  <c r="J153" i="69"/>
  <c r="J250" i="69" s="1"/>
  <c r="L124" i="69"/>
  <c r="K129" i="69"/>
  <c r="I189" i="69"/>
  <c r="H46" i="69"/>
  <c r="I26" i="69"/>
  <c r="G107" i="63"/>
  <c r="G109" i="63" s="1"/>
  <c r="G140" i="63" s="1"/>
  <c r="G69" i="63"/>
  <c r="G74" i="63" s="1"/>
  <c r="I230" i="63"/>
  <c r="I257" i="63" s="1"/>
  <c r="J223" i="63"/>
  <c r="H258" i="63"/>
  <c r="K124" i="63"/>
  <c r="J129" i="63"/>
  <c r="J24" i="63"/>
  <c r="I26" i="63"/>
  <c r="I180" i="63"/>
  <c r="I189" i="63" s="1"/>
  <c r="I190" i="63" s="1"/>
  <c r="I254" i="63" s="1"/>
  <c r="I164" i="63"/>
  <c r="J158" i="63"/>
  <c r="J217" i="63"/>
  <c r="J256" i="63" s="1"/>
  <c r="K206" i="63"/>
  <c r="K182" i="63"/>
  <c r="J187" i="63"/>
  <c r="H116" i="63"/>
  <c r="H114" i="63"/>
  <c r="H108" i="63"/>
  <c r="H104" i="63"/>
  <c r="H105" i="63"/>
  <c r="H102" i="63"/>
  <c r="H97" i="63"/>
  <c r="H106" i="63"/>
  <c r="H95" i="63"/>
  <c r="H96" i="63"/>
  <c r="H32" i="63"/>
  <c r="H112" i="63" s="1"/>
  <c r="H31" i="63"/>
  <c r="H30" i="63" s="1"/>
  <c r="J57" i="63"/>
  <c r="K55" i="63"/>
  <c r="I200" i="63"/>
  <c r="J195" i="63"/>
  <c r="J36" i="63"/>
  <c r="J152" i="63"/>
  <c r="K146" i="63"/>
  <c r="J59" i="63"/>
  <c r="I63" i="63"/>
  <c r="I60" i="63"/>
  <c r="I64" i="63" s="1"/>
  <c r="I61" i="63" s="1"/>
  <c r="I45" i="63"/>
  <c r="I47" i="63"/>
  <c r="I72" i="63"/>
  <c r="I77" i="63" s="1"/>
  <c r="I44" i="63"/>
  <c r="I100" i="63"/>
  <c r="I48" i="63"/>
  <c r="J25" i="63"/>
  <c r="H98" i="63"/>
  <c r="H71" i="63"/>
  <c r="H99" i="63"/>
  <c r="G99" i="63"/>
  <c r="G71" i="63"/>
  <c r="G98" i="63"/>
  <c r="I269" i="63"/>
  <c r="J266" i="63"/>
  <c r="J180" i="63"/>
  <c r="K177" i="63"/>
  <c r="J131" i="63"/>
  <c r="I136" i="63"/>
  <c r="I138" i="63" s="1"/>
  <c r="J29" i="63"/>
  <c r="K27" i="63"/>
  <c r="J35" i="63"/>
  <c r="L58" i="63"/>
  <c r="H190" i="45"/>
  <c r="H254" i="45" s="1"/>
  <c r="K58" i="45"/>
  <c r="J63" i="45"/>
  <c r="J60" i="45"/>
  <c r="J64" i="45" s="1"/>
  <c r="J61" i="45" s="1"/>
  <c r="H100" i="45"/>
  <c r="H47" i="45"/>
  <c r="H72" i="45"/>
  <c r="H77" i="45" s="1"/>
  <c r="H48" i="45"/>
  <c r="H44" i="45"/>
  <c r="H45" i="45"/>
  <c r="I200" i="45"/>
  <c r="J195" i="45"/>
  <c r="H153" i="45"/>
  <c r="H250" i="45" s="1"/>
  <c r="G114" i="45"/>
  <c r="I46" i="45"/>
  <c r="I53" i="45" s="1"/>
  <c r="I50" i="45" s="1"/>
  <c r="H64" i="45"/>
  <c r="H61" i="45" s="1"/>
  <c r="J25" i="45"/>
  <c r="H121" i="45"/>
  <c r="P116" i="45"/>
  <c r="Q116" i="45" s="1"/>
  <c r="J269" i="45"/>
  <c r="K266" i="45"/>
  <c r="J182" i="45"/>
  <c r="I187" i="45"/>
  <c r="I189" i="45" s="1"/>
  <c r="J164" i="45"/>
  <c r="J165" i="45" s="1"/>
  <c r="J251" i="45" s="1"/>
  <c r="K158" i="45"/>
  <c r="K124" i="45"/>
  <c r="J129" i="45"/>
  <c r="I26" i="45"/>
  <c r="L24" i="45"/>
  <c r="J217" i="45"/>
  <c r="J256" i="45" s="1"/>
  <c r="K206" i="45"/>
  <c r="J223" i="45"/>
  <c r="I230" i="45"/>
  <c r="I257" i="45" s="1"/>
  <c r="H255" i="45"/>
  <c r="H234" i="45"/>
  <c r="K152" i="45"/>
  <c r="K153" i="45" s="1"/>
  <c r="K250" i="45" s="1"/>
  <c r="L146" i="45"/>
  <c r="J153" i="45"/>
  <c r="J250" i="45" s="1"/>
  <c r="L36" i="45"/>
  <c r="G52" i="45"/>
  <c r="G49" i="45"/>
  <c r="G53" i="45" s="1"/>
  <c r="G50" i="45" s="1"/>
  <c r="G31" i="45" s="1"/>
  <c r="G30" i="45" s="1"/>
  <c r="L180" i="45"/>
  <c r="M177" i="45"/>
  <c r="M180" i="45" s="1"/>
  <c r="J131" i="45"/>
  <c r="I136" i="45"/>
  <c r="I138" i="45" s="1"/>
  <c r="P102" i="45"/>
  <c r="Q102" i="45" s="1"/>
  <c r="G76" i="45"/>
  <c r="G75" i="45" s="1"/>
  <c r="G79" i="45"/>
  <c r="G70" i="45"/>
  <c r="L129" i="46"/>
  <c r="M124" i="46"/>
  <c r="M129" i="46" s="1"/>
  <c r="H52" i="46"/>
  <c r="H49" i="46"/>
  <c r="H53" i="46" s="1"/>
  <c r="H50" i="46" s="1"/>
  <c r="H31" i="46" s="1"/>
  <c r="H30" i="46" s="1"/>
  <c r="J25" i="46"/>
  <c r="L182" i="46"/>
  <c r="K187" i="46"/>
  <c r="L36" i="46"/>
  <c r="K217" i="46"/>
  <c r="K256" i="46" s="1"/>
  <c r="L206" i="46"/>
  <c r="K129" i="46"/>
  <c r="H98" i="46"/>
  <c r="H71" i="46"/>
  <c r="H99" i="46"/>
  <c r="J129" i="46"/>
  <c r="K269" i="46"/>
  <c r="L266" i="46"/>
  <c r="J56" i="46"/>
  <c r="I57" i="46"/>
  <c r="I63" i="46"/>
  <c r="I60" i="46"/>
  <c r="I64" i="46" s="1"/>
  <c r="I61" i="46" s="1"/>
  <c r="J58" i="46"/>
  <c r="J152" i="46"/>
  <c r="J153" i="46" s="1"/>
  <c r="J250" i="46" s="1"/>
  <c r="K146" i="46"/>
  <c r="M55" i="46"/>
  <c r="I230" i="46"/>
  <c r="I257" i="46" s="1"/>
  <c r="J223" i="46"/>
  <c r="J177" i="46"/>
  <c r="I180" i="46"/>
  <c r="I189" i="46" s="1"/>
  <c r="I35" i="46"/>
  <c r="J27" i="46"/>
  <c r="I29" i="46"/>
  <c r="I255" i="46"/>
  <c r="H255" i="46"/>
  <c r="H234" i="46"/>
  <c r="H189" i="46"/>
  <c r="J200" i="46"/>
  <c r="K195" i="46"/>
  <c r="K158" i="46"/>
  <c r="J164" i="46"/>
  <c r="I26" i="46"/>
  <c r="H105" i="46"/>
  <c r="H102" i="46"/>
  <c r="H97" i="46"/>
  <c r="H116" i="46"/>
  <c r="H106" i="46"/>
  <c r="H104" i="46"/>
  <c r="H95" i="46"/>
  <c r="H108" i="46"/>
  <c r="H96" i="46"/>
  <c r="H32" i="46"/>
  <c r="H112" i="46" s="1"/>
  <c r="J131" i="46"/>
  <c r="I136" i="46"/>
  <c r="I138" i="46" s="1"/>
  <c r="L24" i="46"/>
  <c r="G107" i="47"/>
  <c r="G109" i="47" s="1"/>
  <c r="G140" i="47" s="1"/>
  <c r="G69" i="47"/>
  <c r="G74" i="47" s="1"/>
  <c r="J180" i="47"/>
  <c r="K177" i="47"/>
  <c r="G79" i="47"/>
  <c r="G70" i="47"/>
  <c r="G76" i="47"/>
  <c r="G75" i="47" s="1"/>
  <c r="P116" i="47"/>
  <c r="Q116" i="47" s="1"/>
  <c r="H121" i="47"/>
  <c r="I200" i="47"/>
  <c r="J195" i="47"/>
  <c r="J217" i="47"/>
  <c r="J256" i="47" s="1"/>
  <c r="K206" i="47"/>
  <c r="K153" i="47"/>
  <c r="K250" i="47" s="1"/>
  <c r="I63" i="47"/>
  <c r="I60" i="47"/>
  <c r="I64" i="47" s="1"/>
  <c r="I61" i="47" s="1"/>
  <c r="J58" i="47"/>
  <c r="I153" i="47"/>
  <c r="I250" i="47" s="1"/>
  <c r="J131" i="47"/>
  <c r="I136" i="47"/>
  <c r="M146" i="47"/>
  <c r="M152" i="47" s="1"/>
  <c r="L152" i="47"/>
  <c r="H255" i="47"/>
  <c r="H234" i="47"/>
  <c r="K124" i="47"/>
  <c r="J129" i="47"/>
  <c r="I105" i="47"/>
  <c r="I102" i="47"/>
  <c r="I97" i="47"/>
  <c r="I95" i="47"/>
  <c r="I108" i="47"/>
  <c r="I32" i="47"/>
  <c r="I112" i="47" s="1"/>
  <c r="I104" i="47"/>
  <c r="I116" i="47"/>
  <c r="I121" i="47" s="1"/>
  <c r="I96" i="47"/>
  <c r="J187" i="47"/>
  <c r="K182" i="47"/>
  <c r="I164" i="47"/>
  <c r="J158" i="47"/>
  <c r="J26" i="47"/>
  <c r="K25" i="47"/>
  <c r="L153" i="47"/>
  <c r="L250" i="47" s="1"/>
  <c r="P102" i="47"/>
  <c r="Q102" i="47" s="1"/>
  <c r="I230" i="47"/>
  <c r="I257" i="47" s="1"/>
  <c r="J223" i="47"/>
  <c r="J269" i="47"/>
  <c r="K266" i="47"/>
  <c r="H190" i="47"/>
  <c r="H254" i="47" s="1"/>
  <c r="H258" i="47" s="1"/>
  <c r="I138" i="47"/>
  <c r="I165" i="47"/>
  <c r="I251" i="47" s="1"/>
  <c r="I35" i="47"/>
  <c r="I29" i="47"/>
  <c r="J27" i="47"/>
  <c r="M24" i="47"/>
  <c r="H114" i="47"/>
  <c r="I152" i="48"/>
  <c r="I180" i="48"/>
  <c r="I189" i="48" s="1"/>
  <c r="J177" i="48"/>
  <c r="K36" i="48"/>
  <c r="J200" i="48"/>
  <c r="K195" i="48"/>
  <c r="K129" i="48"/>
  <c r="J25" i="48"/>
  <c r="I60" i="48"/>
  <c r="I64" i="48" s="1"/>
  <c r="I61" i="48" s="1"/>
  <c r="I63" i="48"/>
  <c r="J58" i="48"/>
  <c r="H190" i="48"/>
  <c r="H254" i="48" s="1"/>
  <c r="H258" i="48" s="1"/>
  <c r="I29" i="48"/>
  <c r="I165" i="48"/>
  <c r="I251" i="48" s="1"/>
  <c r="H165" i="48"/>
  <c r="H251" i="48" s="1"/>
  <c r="I217" i="48"/>
  <c r="I256" i="48" s="1"/>
  <c r="J206" i="48"/>
  <c r="I153" i="48"/>
  <c r="I250" i="48" s="1"/>
  <c r="H121" i="48"/>
  <c r="P116" i="48"/>
  <c r="Q116" i="48" s="1"/>
  <c r="K182" i="48"/>
  <c r="J187" i="48"/>
  <c r="H52" i="48"/>
  <c r="H49" i="48"/>
  <c r="L230" i="48"/>
  <c r="L257" i="48" s="1"/>
  <c r="M223" i="48"/>
  <c r="M230" i="48" s="1"/>
  <c r="M257" i="48" s="1"/>
  <c r="I255" i="48"/>
  <c r="I234" i="48"/>
  <c r="L129" i="48"/>
  <c r="M124" i="48"/>
  <c r="M129" i="48" s="1"/>
  <c r="G114" i="48"/>
  <c r="G107" i="48"/>
  <c r="G109" i="48" s="1"/>
  <c r="G79" i="48"/>
  <c r="G76" i="48"/>
  <c r="G75" i="48" s="1"/>
  <c r="G70" i="48"/>
  <c r="I35" i="48"/>
  <c r="P102" i="48"/>
  <c r="Q102" i="48" s="1"/>
  <c r="J158" i="48"/>
  <c r="I164" i="48"/>
  <c r="K27" i="48"/>
  <c r="J35" i="48"/>
  <c r="J29" i="48"/>
  <c r="J269" i="48"/>
  <c r="K266" i="48"/>
  <c r="I129" i="48"/>
  <c r="I138" i="48" s="1"/>
  <c r="L152" i="48"/>
  <c r="M146" i="48"/>
  <c r="M152" i="48" s="1"/>
  <c r="G69" i="48"/>
  <c r="G74" i="48" s="1"/>
  <c r="I26" i="48"/>
  <c r="J24" i="48"/>
  <c r="H114" i="48"/>
  <c r="K131" i="48"/>
  <c r="J136" i="48"/>
  <c r="J138" i="48" s="1"/>
  <c r="H234" i="48"/>
  <c r="J152" i="48"/>
  <c r="K153" i="48" s="1"/>
  <c r="K250" i="48" s="1"/>
  <c r="I45" i="49"/>
  <c r="I100" i="49"/>
  <c r="I72" i="49"/>
  <c r="I77" i="49" s="1"/>
  <c r="I47" i="49"/>
  <c r="I48" i="49"/>
  <c r="I44" i="49"/>
  <c r="J224" i="49"/>
  <c r="I230" i="49"/>
  <c r="I257" i="49" s="1"/>
  <c r="L223" i="49"/>
  <c r="J189" i="49"/>
  <c r="K153" i="49"/>
  <c r="K250" i="49" s="1"/>
  <c r="I60" i="49"/>
  <c r="I64" i="49" s="1"/>
  <c r="I61" i="49" s="1"/>
  <c r="J58" i="49"/>
  <c r="I63" i="49"/>
  <c r="I200" i="49"/>
  <c r="J195" i="49"/>
  <c r="J131" i="49"/>
  <c r="I136" i="49"/>
  <c r="I138" i="49" s="1"/>
  <c r="J36" i="49"/>
  <c r="J29" i="49"/>
  <c r="K27" i="49"/>
  <c r="J35" i="49"/>
  <c r="H190" i="49"/>
  <c r="H254" i="49" s="1"/>
  <c r="I164" i="49"/>
  <c r="J158" i="49"/>
  <c r="K124" i="49"/>
  <c r="J129" i="49"/>
  <c r="H255" i="49"/>
  <c r="H234" i="49"/>
  <c r="M146" i="49"/>
  <c r="M152" i="49" s="1"/>
  <c r="L152" i="49"/>
  <c r="L153" i="49" s="1"/>
  <c r="L250" i="49" s="1"/>
  <c r="G107" i="49"/>
  <c r="G109" i="49" s="1"/>
  <c r="G140" i="49" s="1"/>
  <c r="I26" i="49"/>
  <c r="J24" i="49"/>
  <c r="H100" i="49"/>
  <c r="H72" i="49"/>
  <c r="H77" i="49" s="1"/>
  <c r="H48" i="49"/>
  <c r="H44" i="49"/>
  <c r="H46" i="49" s="1"/>
  <c r="H45" i="49"/>
  <c r="H47" i="49"/>
  <c r="L177" i="49"/>
  <c r="K180" i="49"/>
  <c r="J25" i="49"/>
  <c r="G79" i="49"/>
  <c r="G76" i="49"/>
  <c r="G75" i="49" s="1"/>
  <c r="G70" i="49"/>
  <c r="L182" i="49"/>
  <c r="K187" i="49"/>
  <c r="J217" i="49"/>
  <c r="J256" i="49" s="1"/>
  <c r="K206" i="49"/>
  <c r="I165" i="49"/>
  <c r="I251" i="49" s="1"/>
  <c r="J269" i="49"/>
  <c r="K266" i="49"/>
  <c r="H116" i="49"/>
  <c r="H114" i="49"/>
  <c r="H108" i="49"/>
  <c r="H104" i="49"/>
  <c r="H96" i="49"/>
  <c r="H105" i="49"/>
  <c r="H102" i="49"/>
  <c r="H97" i="49"/>
  <c r="H106" i="49"/>
  <c r="H95" i="49"/>
  <c r="H32" i="49"/>
  <c r="H112" i="49" s="1"/>
  <c r="K55" i="49"/>
  <c r="J57" i="49"/>
  <c r="J180" i="50"/>
  <c r="K177" i="50"/>
  <c r="I26" i="50"/>
  <c r="J24" i="50"/>
  <c r="G107" i="50"/>
  <c r="H255" i="50"/>
  <c r="H234" i="50"/>
  <c r="J217" i="50"/>
  <c r="J256" i="50" s="1"/>
  <c r="K206" i="50"/>
  <c r="H165" i="50"/>
  <c r="H251" i="50" s="1"/>
  <c r="G69" i="50"/>
  <c r="G74" i="50" s="1"/>
  <c r="J164" i="50"/>
  <c r="K158" i="50"/>
  <c r="J57" i="50"/>
  <c r="K55" i="50"/>
  <c r="J29" i="50"/>
  <c r="K27" i="50"/>
  <c r="J35" i="50"/>
  <c r="I52" i="50"/>
  <c r="I49" i="50"/>
  <c r="I53" i="50" s="1"/>
  <c r="I50" i="50" s="1"/>
  <c r="I230" i="50"/>
  <c r="I257" i="50" s="1"/>
  <c r="J223" i="50"/>
  <c r="K131" i="50"/>
  <c r="J136" i="50"/>
  <c r="J187" i="50"/>
  <c r="K182" i="50"/>
  <c r="G109" i="50"/>
  <c r="G140" i="50" s="1"/>
  <c r="H95" i="50"/>
  <c r="H116" i="50"/>
  <c r="H108" i="50"/>
  <c r="H104" i="50"/>
  <c r="H96" i="50"/>
  <c r="H105" i="50"/>
  <c r="H102" i="50"/>
  <c r="H97" i="50"/>
  <c r="H106" i="50"/>
  <c r="H32" i="50"/>
  <c r="H112" i="50" s="1"/>
  <c r="G70" i="50"/>
  <c r="G76" i="50"/>
  <c r="G75" i="50" s="1"/>
  <c r="G79" i="50"/>
  <c r="I98" i="50"/>
  <c r="I71" i="50"/>
  <c r="I99" i="50"/>
  <c r="I200" i="50"/>
  <c r="J195" i="50"/>
  <c r="J129" i="50"/>
  <c r="K124" i="50"/>
  <c r="K63" i="50"/>
  <c r="K60" i="50"/>
  <c r="L58" i="50"/>
  <c r="J269" i="50"/>
  <c r="K266" i="50"/>
  <c r="H190" i="50"/>
  <c r="H254" i="50" s="1"/>
  <c r="H258" i="50" s="1"/>
  <c r="H46" i="50"/>
  <c r="H49" i="50"/>
  <c r="J146" i="50"/>
  <c r="I152" i="50"/>
  <c r="J64" i="50"/>
  <c r="J61" i="50" s="1"/>
  <c r="J36" i="50"/>
  <c r="L25" i="50"/>
  <c r="G107" i="43"/>
  <c r="G69" i="43"/>
  <c r="G74" i="43" s="1"/>
  <c r="K131" i="43"/>
  <c r="J136" i="43"/>
  <c r="K24" i="43"/>
  <c r="J26" i="43"/>
  <c r="H121" i="43"/>
  <c r="P116" i="43"/>
  <c r="Q116" i="43" s="1"/>
  <c r="J146" i="43"/>
  <c r="I152" i="43"/>
  <c r="I190" i="43"/>
  <c r="I254" i="43" s="1"/>
  <c r="J269" i="43"/>
  <c r="K266" i="43"/>
  <c r="I189" i="43"/>
  <c r="H190" i="43"/>
  <c r="H254" i="43" s="1"/>
  <c r="K36" i="43"/>
  <c r="I138" i="43"/>
  <c r="I153" i="43"/>
  <c r="I250" i="43" s="1"/>
  <c r="G109" i="43"/>
  <c r="G140" i="43" s="1"/>
  <c r="G70" i="43"/>
  <c r="G76" i="43"/>
  <c r="G75" i="43" s="1"/>
  <c r="G79" i="43"/>
  <c r="G52" i="43"/>
  <c r="I230" i="43"/>
  <c r="I257" i="43" s="1"/>
  <c r="J223" i="43"/>
  <c r="I200" i="43"/>
  <c r="J195" i="43"/>
  <c r="J180" i="43"/>
  <c r="K177" i="43"/>
  <c r="J129" i="43"/>
  <c r="J138" i="43" s="1"/>
  <c r="K124" i="43"/>
  <c r="I116" i="43"/>
  <c r="I121" i="43" s="1"/>
  <c r="I108" i="43"/>
  <c r="I104" i="43"/>
  <c r="I96" i="43"/>
  <c r="I105" i="43"/>
  <c r="I102" i="43"/>
  <c r="I97" i="43"/>
  <c r="I32" i="43"/>
  <c r="I112" i="43" s="1"/>
  <c r="I95" i="43"/>
  <c r="P102" i="43"/>
  <c r="Q102" i="43" s="1"/>
  <c r="J63" i="43"/>
  <c r="J60" i="43"/>
  <c r="K58" i="43"/>
  <c r="L25" i="43"/>
  <c r="H100" i="43"/>
  <c r="H45" i="43"/>
  <c r="H72" i="43"/>
  <c r="H77" i="43" s="1"/>
  <c r="H48" i="43"/>
  <c r="H44" i="43"/>
  <c r="H47" i="43"/>
  <c r="H255" i="43"/>
  <c r="H234" i="43"/>
  <c r="J217" i="43"/>
  <c r="J256" i="43" s="1"/>
  <c r="K206" i="43"/>
  <c r="H165" i="43"/>
  <c r="H251" i="43" s="1"/>
  <c r="J187" i="43"/>
  <c r="K182" i="43"/>
  <c r="H114" i="43"/>
  <c r="J164" i="43"/>
  <c r="J165" i="43" s="1"/>
  <c r="J251" i="43" s="1"/>
  <c r="K158" i="43"/>
  <c r="I57" i="43"/>
  <c r="J55" i="43"/>
  <c r="I29" i="43"/>
  <c r="J27" i="43"/>
  <c r="I35" i="43"/>
  <c r="L36" i="44"/>
  <c r="H95" i="44"/>
  <c r="H116" i="44"/>
  <c r="H108" i="44"/>
  <c r="H104" i="44"/>
  <c r="H96" i="44"/>
  <c r="H32" i="44"/>
  <c r="H112" i="44" s="1"/>
  <c r="H97" i="44"/>
  <c r="H105" i="44"/>
  <c r="H102" i="44"/>
  <c r="H106" i="44"/>
  <c r="I269" i="44"/>
  <c r="J266" i="44"/>
  <c r="I57" i="44"/>
  <c r="J55" i="44"/>
  <c r="J190" i="44"/>
  <c r="J254" i="44" s="1"/>
  <c r="I165" i="44"/>
  <c r="I251" i="44" s="1"/>
  <c r="H165" i="44"/>
  <c r="H251" i="44" s="1"/>
  <c r="I200" i="44"/>
  <c r="J195" i="44"/>
  <c r="K63" i="44"/>
  <c r="K60" i="44"/>
  <c r="L58" i="44"/>
  <c r="J138" i="44"/>
  <c r="J136" i="44"/>
  <c r="K131" i="44"/>
  <c r="I29" i="44"/>
  <c r="J27" i="44"/>
  <c r="I35" i="44"/>
  <c r="I153" i="44"/>
  <c r="I250" i="44" s="1"/>
  <c r="G49" i="44"/>
  <c r="H234" i="44"/>
  <c r="H255" i="44"/>
  <c r="K217" i="44"/>
  <c r="K256" i="44" s="1"/>
  <c r="L206" i="44"/>
  <c r="K146" i="44"/>
  <c r="J152" i="44"/>
  <c r="H99" i="44"/>
  <c r="H71" i="44"/>
  <c r="H98" i="44"/>
  <c r="L187" i="44"/>
  <c r="K158" i="44"/>
  <c r="J164" i="44"/>
  <c r="J165" i="44" s="1"/>
  <c r="J251" i="44" s="1"/>
  <c r="L230" i="44"/>
  <c r="L257" i="44" s="1"/>
  <c r="M223" i="44"/>
  <c r="M230" i="44" s="1"/>
  <c r="M257" i="44" s="1"/>
  <c r="K187" i="44"/>
  <c r="K189" i="44" s="1"/>
  <c r="K190" i="44" s="1"/>
  <c r="K254" i="44" s="1"/>
  <c r="H190" i="44"/>
  <c r="H254" i="44" s="1"/>
  <c r="H258" i="44" s="1"/>
  <c r="I138" i="44"/>
  <c r="G46" i="44"/>
  <c r="I26" i="44"/>
  <c r="J24" i="44"/>
  <c r="I64" i="44"/>
  <c r="I61" i="44" s="1"/>
  <c r="K25" i="44"/>
  <c r="H52" i="44"/>
  <c r="H49" i="44"/>
  <c r="H53" i="44" s="1"/>
  <c r="H50" i="44" s="1"/>
  <c r="H31" i="44" s="1"/>
  <c r="H30" i="44" s="1"/>
  <c r="G107" i="42"/>
  <c r="G109" i="42" s="1"/>
  <c r="G140" i="42" s="1"/>
  <c r="G69" i="42"/>
  <c r="G74" i="42" s="1"/>
  <c r="I230" i="42"/>
  <c r="I257" i="42" s="1"/>
  <c r="J223" i="42"/>
  <c r="J217" i="42"/>
  <c r="J256" i="42" s="1"/>
  <c r="K206" i="42"/>
  <c r="I164" i="42"/>
  <c r="J158" i="42"/>
  <c r="J129" i="42"/>
  <c r="K124" i="42"/>
  <c r="I26" i="42"/>
  <c r="J24" i="42"/>
  <c r="K57" i="42"/>
  <c r="L55" i="42"/>
  <c r="I29" i="42"/>
  <c r="J27" i="42"/>
  <c r="I35" i="42"/>
  <c r="I60" i="42"/>
  <c r="I64" i="42" s="1"/>
  <c r="I61" i="42" s="1"/>
  <c r="I63" i="42"/>
  <c r="J58" i="42"/>
  <c r="I46" i="42"/>
  <c r="I53" i="42" s="1"/>
  <c r="I50" i="42" s="1"/>
  <c r="J269" i="42"/>
  <c r="K266" i="42"/>
  <c r="I200" i="42"/>
  <c r="J195" i="42"/>
  <c r="J180" i="42"/>
  <c r="J189" i="42" s="1"/>
  <c r="K177" i="42"/>
  <c r="G114" i="42"/>
  <c r="J36" i="42"/>
  <c r="L182" i="42"/>
  <c r="K187" i="42"/>
  <c r="J100" i="42"/>
  <c r="J72" i="42"/>
  <c r="J77" i="42" s="1"/>
  <c r="J48" i="42"/>
  <c r="J47" i="42"/>
  <c r="J45" i="42"/>
  <c r="J44" i="42"/>
  <c r="H64" i="42"/>
  <c r="H61" i="42" s="1"/>
  <c r="G76" i="42"/>
  <c r="G75" i="42" s="1"/>
  <c r="G79" i="42"/>
  <c r="G70" i="42"/>
  <c r="K146" i="42"/>
  <c r="J152" i="42"/>
  <c r="J153" i="42" s="1"/>
  <c r="J250" i="42" s="1"/>
  <c r="H255" i="42"/>
  <c r="H234" i="42"/>
  <c r="H165" i="42"/>
  <c r="H251" i="42" s="1"/>
  <c r="I136" i="42"/>
  <c r="I138" i="42" s="1"/>
  <c r="J131" i="42"/>
  <c r="H106" i="42"/>
  <c r="H116" i="42"/>
  <c r="H108" i="42"/>
  <c r="H104" i="42"/>
  <c r="H96" i="42"/>
  <c r="H32" i="42"/>
  <c r="H112" i="42" s="1"/>
  <c r="H105" i="42"/>
  <c r="H102" i="42"/>
  <c r="H95" i="42"/>
  <c r="H97" i="42"/>
  <c r="H190" i="42"/>
  <c r="H254" i="42" s="1"/>
  <c r="H100" i="42"/>
  <c r="H72" i="42"/>
  <c r="H77" i="42" s="1"/>
  <c r="H48" i="42"/>
  <c r="H44" i="42"/>
  <c r="H47" i="42"/>
  <c r="H45" i="42"/>
  <c r="K25" i="42"/>
  <c r="G114" i="41"/>
  <c r="J124" i="41"/>
  <c r="I129" i="41"/>
  <c r="I138" i="41" s="1"/>
  <c r="H165" i="41"/>
  <c r="H251" i="41" s="1"/>
  <c r="P116" i="41"/>
  <c r="Q116" i="41" s="1"/>
  <c r="H121" i="41"/>
  <c r="G98" i="41"/>
  <c r="G99" i="41"/>
  <c r="G71" i="41"/>
  <c r="J269" i="41"/>
  <c r="K266" i="41"/>
  <c r="P102" i="41"/>
  <c r="Q102" i="41" s="1"/>
  <c r="M131" i="41"/>
  <c r="M136" i="41" s="1"/>
  <c r="L136" i="41"/>
  <c r="I29" i="41"/>
  <c r="I35" i="41"/>
  <c r="J27" i="41"/>
  <c r="J217" i="41"/>
  <c r="J256" i="41" s="1"/>
  <c r="K206" i="41"/>
  <c r="I200" i="41"/>
  <c r="J195" i="41"/>
  <c r="I189" i="41"/>
  <c r="I190" i="41" s="1"/>
  <c r="I254" i="41" s="1"/>
  <c r="I57" i="41"/>
  <c r="J55" i="41"/>
  <c r="J164" i="41"/>
  <c r="J165" i="41" s="1"/>
  <c r="J251" i="41" s="1"/>
  <c r="K158" i="41"/>
  <c r="J224" i="41"/>
  <c r="I230" i="41"/>
  <c r="I257" i="41" s="1"/>
  <c r="K153" i="41"/>
  <c r="K250" i="41" s="1"/>
  <c r="H52" i="41"/>
  <c r="H49" i="41"/>
  <c r="H53" i="41" s="1"/>
  <c r="H50" i="41" s="1"/>
  <c r="H31" i="41" s="1"/>
  <c r="H30" i="41" s="1"/>
  <c r="L223" i="41"/>
  <c r="J153" i="41"/>
  <c r="J250" i="41" s="1"/>
  <c r="I114" i="41"/>
  <c r="L182" i="41"/>
  <c r="K187" i="41"/>
  <c r="H255" i="41"/>
  <c r="H234" i="41"/>
  <c r="J180" i="41"/>
  <c r="J189" i="41" s="1"/>
  <c r="K177" i="41"/>
  <c r="H190" i="41"/>
  <c r="H254" i="41" s="1"/>
  <c r="L146" i="41"/>
  <c r="K152" i="41"/>
  <c r="G107" i="41"/>
  <c r="G109" i="41" s="1"/>
  <c r="G140" i="41" s="1"/>
  <c r="I63" i="41"/>
  <c r="I60" i="41"/>
  <c r="I64" i="41" s="1"/>
  <c r="I61" i="41" s="1"/>
  <c r="J58" i="41"/>
  <c r="G69" i="41"/>
  <c r="G74" i="41" s="1"/>
  <c r="G107" i="40"/>
  <c r="G109" i="40" s="1"/>
  <c r="G140" i="40" s="1"/>
  <c r="G69" i="40"/>
  <c r="G74" i="40" s="1"/>
  <c r="K269" i="40"/>
  <c r="L266" i="40"/>
  <c r="K217" i="40"/>
  <c r="K256" i="40" s="1"/>
  <c r="L206" i="40"/>
  <c r="I99" i="40"/>
  <c r="I98" i="40"/>
  <c r="I71" i="40"/>
  <c r="K153" i="40"/>
  <c r="K250" i="40" s="1"/>
  <c r="I234" i="40"/>
  <c r="I255" i="40"/>
  <c r="J136" i="40"/>
  <c r="K230" i="40"/>
  <c r="K257" i="40" s="1"/>
  <c r="L223" i="40"/>
  <c r="H165" i="40"/>
  <c r="H251" i="40" s="1"/>
  <c r="J36" i="40"/>
  <c r="I26" i="40"/>
  <c r="J24" i="40"/>
  <c r="I60" i="40"/>
  <c r="I64" i="40" s="1"/>
  <c r="I61" i="40" s="1"/>
  <c r="J58" i="40"/>
  <c r="I63" i="40"/>
  <c r="K25" i="40"/>
  <c r="M146" i="40"/>
  <c r="M152" i="40" s="1"/>
  <c r="L152" i="40"/>
  <c r="M153" i="40" s="1"/>
  <c r="M250" i="40" s="1"/>
  <c r="H234" i="40"/>
  <c r="J187" i="40"/>
  <c r="K182" i="40"/>
  <c r="J57" i="40"/>
  <c r="K55" i="40"/>
  <c r="J29" i="40"/>
  <c r="K27" i="40"/>
  <c r="J35" i="40"/>
  <c r="H138" i="40"/>
  <c r="I138" i="40"/>
  <c r="I52" i="40"/>
  <c r="I49" i="40"/>
  <c r="I53" i="40" s="1"/>
  <c r="I50" i="40" s="1"/>
  <c r="J200" i="40"/>
  <c r="K195" i="40"/>
  <c r="L131" i="40"/>
  <c r="K136" i="40"/>
  <c r="G79" i="40"/>
  <c r="G70" i="40"/>
  <c r="G76" i="40"/>
  <c r="G75" i="40" s="1"/>
  <c r="J158" i="40"/>
  <c r="I164" i="40"/>
  <c r="H116" i="40"/>
  <c r="H108" i="40"/>
  <c r="H104" i="40"/>
  <c r="H96" i="40"/>
  <c r="H106" i="40"/>
  <c r="H95" i="40"/>
  <c r="H32" i="40"/>
  <c r="H112" i="40" s="1"/>
  <c r="H102" i="40"/>
  <c r="H97" i="40"/>
  <c r="H105" i="40"/>
  <c r="J177" i="40"/>
  <c r="I180" i="40"/>
  <c r="I189" i="40" s="1"/>
  <c r="I190" i="40" s="1"/>
  <c r="I254" i="40" s="1"/>
  <c r="I258" i="40" s="1"/>
  <c r="J129" i="40"/>
  <c r="J138" i="40" s="1"/>
  <c r="K124" i="40"/>
  <c r="J217" i="39"/>
  <c r="J256" i="39" s="1"/>
  <c r="K206" i="39"/>
  <c r="I100" i="39"/>
  <c r="I47" i="39"/>
  <c r="I72" i="39"/>
  <c r="I77" i="39" s="1"/>
  <c r="I45" i="39"/>
  <c r="I48" i="39"/>
  <c r="I44" i="39"/>
  <c r="I46" i="39" s="1"/>
  <c r="H255" i="39"/>
  <c r="H234" i="39"/>
  <c r="I187" i="39"/>
  <c r="H138" i="39"/>
  <c r="J177" i="39"/>
  <c r="I180" i="39"/>
  <c r="I60" i="39"/>
  <c r="I64" i="39" s="1"/>
  <c r="I61" i="39" s="1"/>
  <c r="I63" i="39"/>
  <c r="J58" i="39"/>
  <c r="G76" i="39"/>
  <c r="G75" i="39" s="1"/>
  <c r="G79" i="39"/>
  <c r="G70" i="39"/>
  <c r="I200" i="39"/>
  <c r="J195" i="39"/>
  <c r="G107" i="39"/>
  <c r="G109" i="39" s="1"/>
  <c r="G140" i="39" s="1"/>
  <c r="J25" i="39"/>
  <c r="I26" i="39"/>
  <c r="J269" i="39"/>
  <c r="K266" i="39"/>
  <c r="I165" i="39"/>
  <c r="I251" i="39" s="1"/>
  <c r="H165" i="39"/>
  <c r="H251" i="39" s="1"/>
  <c r="J146" i="39"/>
  <c r="I152" i="39"/>
  <c r="I153" i="39" s="1"/>
  <c r="I250" i="39" s="1"/>
  <c r="H105" i="39"/>
  <c r="H102" i="39"/>
  <c r="H108" i="39"/>
  <c r="H96" i="39"/>
  <c r="H32" i="39"/>
  <c r="H112" i="39" s="1"/>
  <c r="H104" i="39"/>
  <c r="H97" i="39"/>
  <c r="H106" i="39"/>
  <c r="H95" i="39"/>
  <c r="H116" i="39"/>
  <c r="H31" i="39"/>
  <c r="H30" i="39" s="1"/>
  <c r="J136" i="39"/>
  <c r="K131" i="39"/>
  <c r="H190" i="39"/>
  <c r="H254" i="39" s="1"/>
  <c r="H258" i="39" s="1"/>
  <c r="J36" i="39"/>
  <c r="H52" i="39"/>
  <c r="I230" i="39"/>
  <c r="I257" i="39" s="1"/>
  <c r="J223" i="39"/>
  <c r="I129" i="39"/>
  <c r="I138" i="39" s="1"/>
  <c r="J124" i="39"/>
  <c r="L182" i="39"/>
  <c r="K187" i="39"/>
  <c r="J26" i="39"/>
  <c r="K24" i="39"/>
  <c r="K158" i="39"/>
  <c r="J164" i="39"/>
  <c r="J165" i="39" s="1"/>
  <c r="J251" i="39" s="1"/>
  <c r="H98" i="39"/>
  <c r="H71" i="39"/>
  <c r="H99" i="39"/>
  <c r="J57" i="39"/>
  <c r="K55" i="39"/>
  <c r="J180" i="38"/>
  <c r="K177" i="38"/>
  <c r="H255" i="38"/>
  <c r="H234" i="38"/>
  <c r="I165" i="38"/>
  <c r="I251" i="38" s="1"/>
  <c r="K146" i="38"/>
  <c r="J152" i="38"/>
  <c r="J57" i="38"/>
  <c r="J64" i="38" s="1"/>
  <c r="J61" i="38" s="1"/>
  <c r="K55" i="38"/>
  <c r="G52" i="38"/>
  <c r="J28" i="38"/>
  <c r="I29" i="38"/>
  <c r="J269" i="38"/>
  <c r="K266" i="38"/>
  <c r="J217" i="38"/>
  <c r="J256" i="38" s="1"/>
  <c r="K206" i="38"/>
  <c r="H165" i="38"/>
  <c r="H251" i="38" s="1"/>
  <c r="I100" i="38"/>
  <c r="I48" i="38"/>
  <c r="I44" i="38"/>
  <c r="I72" i="38"/>
  <c r="I77" i="38" s="1"/>
  <c r="I45" i="38"/>
  <c r="I47" i="38"/>
  <c r="J124" i="38"/>
  <c r="I129" i="38"/>
  <c r="I138" i="38" s="1"/>
  <c r="H99" i="38"/>
  <c r="H98" i="38"/>
  <c r="H71" i="38"/>
  <c r="P116" i="38"/>
  <c r="Q116" i="38" s="1"/>
  <c r="H121" i="38"/>
  <c r="G98" i="38"/>
  <c r="G71" i="38"/>
  <c r="G99" i="38"/>
  <c r="L27" i="38"/>
  <c r="H49" i="38"/>
  <c r="H53" i="38" s="1"/>
  <c r="H50" i="38" s="1"/>
  <c r="H31" i="38" s="1"/>
  <c r="H30" i="38" s="1"/>
  <c r="I230" i="38"/>
  <c r="I257" i="38" s="1"/>
  <c r="J223" i="38"/>
  <c r="I187" i="38"/>
  <c r="I189" i="38" s="1"/>
  <c r="J182" i="38"/>
  <c r="K164" i="38"/>
  <c r="K165" i="38" s="1"/>
  <c r="K251" i="38" s="1"/>
  <c r="L158" i="38"/>
  <c r="L131" i="38"/>
  <c r="K136" i="38"/>
  <c r="K63" i="38"/>
  <c r="K60" i="38"/>
  <c r="L58" i="38"/>
  <c r="K36" i="38"/>
  <c r="M25" i="38"/>
  <c r="I64" i="38"/>
  <c r="I61" i="38" s="1"/>
  <c r="I200" i="38"/>
  <c r="J195" i="38"/>
  <c r="H258" i="38"/>
  <c r="G114" i="38"/>
  <c r="P102" i="38"/>
  <c r="Q102" i="38" s="1"/>
  <c r="G107" i="38"/>
  <c r="G109" i="38" s="1"/>
  <c r="J26" i="38"/>
  <c r="K24" i="38"/>
  <c r="G107" i="37"/>
  <c r="G109" i="37" s="1"/>
  <c r="G140" i="37" s="1"/>
  <c r="G69" i="37"/>
  <c r="G74" i="37" s="1"/>
  <c r="I26" i="37"/>
  <c r="J24" i="37"/>
  <c r="J57" i="37"/>
  <c r="K55" i="37"/>
  <c r="J269" i="37"/>
  <c r="K266" i="37"/>
  <c r="J158" i="37"/>
  <c r="I164" i="37"/>
  <c r="J136" i="37"/>
  <c r="K131" i="37"/>
  <c r="G98" i="37"/>
  <c r="G71" i="37"/>
  <c r="G99" i="37"/>
  <c r="I29" i="37"/>
  <c r="J27" i="37"/>
  <c r="I35" i="37"/>
  <c r="H45" i="37"/>
  <c r="H100" i="37"/>
  <c r="H47" i="37"/>
  <c r="H72" i="37"/>
  <c r="H77" i="37" s="1"/>
  <c r="H48" i="37"/>
  <c r="H44" i="37"/>
  <c r="I152" i="37"/>
  <c r="I153" i="37" s="1"/>
  <c r="I250" i="37" s="1"/>
  <c r="J146" i="37"/>
  <c r="K63" i="37"/>
  <c r="K60" i="37"/>
  <c r="L58" i="37"/>
  <c r="I100" i="37"/>
  <c r="I47" i="37"/>
  <c r="I48" i="37"/>
  <c r="I44" i="37"/>
  <c r="I72" i="37"/>
  <c r="I77" i="37" s="1"/>
  <c r="I45" i="37"/>
  <c r="I230" i="37"/>
  <c r="I257" i="37" s="1"/>
  <c r="J223" i="37"/>
  <c r="I129" i="37"/>
  <c r="I138" i="37" s="1"/>
  <c r="J124" i="37"/>
  <c r="I200" i="37"/>
  <c r="J195" i="37"/>
  <c r="J36" i="37"/>
  <c r="J64" i="37"/>
  <c r="J61" i="37" s="1"/>
  <c r="J217" i="37"/>
  <c r="J256" i="37" s="1"/>
  <c r="K206" i="37"/>
  <c r="J180" i="37"/>
  <c r="K177" i="37"/>
  <c r="J187" i="37"/>
  <c r="K182" i="37"/>
  <c r="H255" i="37"/>
  <c r="H258" i="37" s="1"/>
  <c r="H234" i="37"/>
  <c r="H105" i="37"/>
  <c r="H102" i="37"/>
  <c r="H97" i="37"/>
  <c r="H95" i="37"/>
  <c r="H116" i="37"/>
  <c r="H104" i="37"/>
  <c r="H108" i="37"/>
  <c r="H96" i="37"/>
  <c r="H32" i="37"/>
  <c r="H112" i="37" s="1"/>
  <c r="H106" i="37"/>
  <c r="H153" i="37"/>
  <c r="H250" i="37" s="1"/>
  <c r="K25" i="37"/>
  <c r="J269" i="36"/>
  <c r="K266" i="36"/>
  <c r="K182" i="36"/>
  <c r="J187" i="36"/>
  <c r="J189" i="36" s="1"/>
  <c r="J190" i="36" s="1"/>
  <c r="J254" i="36" s="1"/>
  <c r="H52" i="36"/>
  <c r="H49" i="36"/>
  <c r="H121" i="36"/>
  <c r="P116" i="36"/>
  <c r="Q116" i="36" s="1"/>
  <c r="I95" i="36"/>
  <c r="I108" i="36"/>
  <c r="I104" i="36"/>
  <c r="I96" i="36"/>
  <c r="I32" i="36"/>
  <c r="I112" i="36" s="1"/>
  <c r="I97" i="36"/>
  <c r="I116" i="36"/>
  <c r="I121" i="36" s="1"/>
  <c r="I105" i="36"/>
  <c r="I102" i="36"/>
  <c r="H153" i="36"/>
  <c r="H250" i="36" s="1"/>
  <c r="I100" i="36"/>
  <c r="I48" i="36"/>
  <c r="I72" i="36"/>
  <c r="I77" i="36" s="1"/>
  <c r="I45" i="36"/>
  <c r="I47" i="36"/>
  <c r="I44" i="36"/>
  <c r="I200" i="36"/>
  <c r="J195" i="36"/>
  <c r="G98" i="36"/>
  <c r="G71" i="36"/>
  <c r="G99" i="36"/>
  <c r="G114" i="36"/>
  <c r="H138" i="36"/>
  <c r="J217" i="36"/>
  <c r="J256" i="36" s="1"/>
  <c r="K206" i="36"/>
  <c r="J60" i="36"/>
  <c r="H234" i="36"/>
  <c r="H255" i="36"/>
  <c r="H258" i="36" s="1"/>
  <c r="G49" i="36"/>
  <c r="G53" i="36" s="1"/>
  <c r="G50" i="36" s="1"/>
  <c r="G31" i="36" s="1"/>
  <c r="G30" i="36" s="1"/>
  <c r="G52" i="36"/>
  <c r="L131" i="36"/>
  <c r="K136" i="36"/>
  <c r="J164" i="36"/>
  <c r="J165" i="36" s="1"/>
  <c r="J251" i="36" s="1"/>
  <c r="K158" i="36"/>
  <c r="K36" i="36"/>
  <c r="I190" i="36"/>
  <c r="I254" i="36" s="1"/>
  <c r="L25" i="36"/>
  <c r="J230" i="36"/>
  <c r="J257" i="36" s="1"/>
  <c r="K223" i="36"/>
  <c r="I35" i="36"/>
  <c r="I29" i="36"/>
  <c r="J27" i="36"/>
  <c r="L177" i="36"/>
  <c r="K180" i="36"/>
  <c r="J129" i="36"/>
  <c r="J138" i="36" s="1"/>
  <c r="K124" i="36"/>
  <c r="J26" i="36"/>
  <c r="K24" i="36"/>
  <c r="J146" i="36"/>
  <c r="I152" i="36"/>
  <c r="I153" i="36" s="1"/>
  <c r="I250" i="36" s="1"/>
  <c r="K63" i="36"/>
  <c r="K60" i="36"/>
  <c r="L58" i="36"/>
  <c r="J57" i="36"/>
  <c r="K55" i="36"/>
  <c r="I13" i="60"/>
  <c r="J12" i="60"/>
  <c r="H98" i="48" l="1"/>
  <c r="H71" i="48"/>
  <c r="H99" i="48"/>
  <c r="H99" i="76"/>
  <c r="H71" i="76"/>
  <c r="H76" i="76" s="1"/>
  <c r="H75" i="76" s="1"/>
  <c r="H98" i="76"/>
  <c r="H98" i="40"/>
  <c r="H71" i="40"/>
  <c r="H99" i="40"/>
  <c r="H98" i="47"/>
  <c r="H71" i="47"/>
  <c r="H99" i="47"/>
  <c r="H99" i="36"/>
  <c r="H71" i="36"/>
  <c r="H98" i="36"/>
  <c r="H99" i="75"/>
  <c r="H98" i="75"/>
  <c r="H71" i="75"/>
  <c r="H79" i="75" s="1"/>
  <c r="H114" i="37"/>
  <c r="J189" i="37"/>
  <c r="L189" i="44"/>
  <c r="M190" i="44" s="1"/>
  <c r="M254" i="44" s="1"/>
  <c r="I31" i="50"/>
  <c r="I30" i="50" s="1"/>
  <c r="G140" i="48"/>
  <c r="I190" i="46"/>
  <c r="I254" i="46" s="1"/>
  <c r="L153" i="70"/>
  <c r="L250" i="70" s="1"/>
  <c r="H53" i="75"/>
  <c r="H50" i="75" s="1"/>
  <c r="H31" i="75" s="1"/>
  <c r="H30" i="75" s="1"/>
  <c r="H53" i="76"/>
  <c r="H50" i="76" s="1"/>
  <c r="H31" i="76" s="1"/>
  <c r="H30" i="76" s="1"/>
  <c r="I104" i="38"/>
  <c r="I97" i="38"/>
  <c r="I116" i="38"/>
  <c r="I121" i="38" s="1"/>
  <c r="I96" i="38"/>
  <c r="I114" i="38"/>
  <c r="I105" i="38"/>
  <c r="I95" i="38"/>
  <c r="I108" i="38"/>
  <c r="I102" i="38"/>
  <c r="I32" i="38"/>
  <c r="I112" i="38" s="1"/>
  <c r="K35" i="74"/>
  <c r="K29" i="74"/>
  <c r="L27" i="74"/>
  <c r="K36" i="41"/>
  <c r="G99" i="73"/>
  <c r="G98" i="73"/>
  <c r="G71" i="73"/>
  <c r="K36" i="47"/>
  <c r="I45" i="47"/>
  <c r="I47" i="47"/>
  <c r="I72" i="47"/>
  <c r="I77" i="47" s="1"/>
  <c r="I48" i="47"/>
  <c r="I49" i="47" s="1"/>
  <c r="I53" i="47" s="1"/>
  <c r="I50" i="47" s="1"/>
  <c r="I44" i="47"/>
  <c r="I46" i="47" s="1"/>
  <c r="I100" i="47"/>
  <c r="H52" i="72"/>
  <c r="H52" i="47"/>
  <c r="H258" i="42"/>
  <c r="I31" i="42"/>
  <c r="I30" i="42" s="1"/>
  <c r="H53" i="50"/>
  <c r="H50" i="50" s="1"/>
  <c r="H31" i="50" s="1"/>
  <c r="H30" i="50" s="1"/>
  <c r="H190" i="46"/>
  <c r="H254" i="46" s="1"/>
  <c r="H258" i="46" s="1"/>
  <c r="J189" i="71"/>
  <c r="H52" i="40"/>
  <c r="H49" i="40"/>
  <c r="H53" i="40" s="1"/>
  <c r="H50" i="40" s="1"/>
  <c r="H31" i="40" s="1"/>
  <c r="H30" i="40" s="1"/>
  <c r="G53" i="46"/>
  <c r="G50" i="46" s="1"/>
  <c r="G31" i="46" s="1"/>
  <c r="G30" i="46" s="1"/>
  <c r="H71" i="41"/>
  <c r="H98" i="41"/>
  <c r="H99" i="41"/>
  <c r="I47" i="48"/>
  <c r="I52" i="48" s="1"/>
  <c r="I72" i="48"/>
  <c r="I77" i="48" s="1"/>
  <c r="I45" i="48"/>
  <c r="I48" i="48"/>
  <c r="I44" i="48"/>
  <c r="I46" i="48" s="1"/>
  <c r="I100" i="48"/>
  <c r="H53" i="36"/>
  <c r="H50" i="36" s="1"/>
  <c r="H31" i="36" s="1"/>
  <c r="H30" i="36" s="1"/>
  <c r="J190" i="41"/>
  <c r="J254" i="41" s="1"/>
  <c r="K189" i="49"/>
  <c r="M153" i="48"/>
  <c r="M250" i="48" s="1"/>
  <c r="H46" i="45"/>
  <c r="I46" i="63"/>
  <c r="J190" i="71"/>
  <c r="J254" i="71" s="1"/>
  <c r="I258" i="72"/>
  <c r="G140" i="72"/>
  <c r="J189" i="73"/>
  <c r="K27" i="39"/>
  <c r="J29" i="39"/>
  <c r="J35" i="39"/>
  <c r="K57" i="45"/>
  <c r="L55" i="45"/>
  <c r="G98" i="46"/>
  <c r="G99" i="46"/>
  <c r="G71" i="46"/>
  <c r="K26" i="41"/>
  <c r="L24" i="41"/>
  <c r="K29" i="45"/>
  <c r="L27" i="45"/>
  <c r="K35" i="45"/>
  <c r="J60" i="71"/>
  <c r="J64" i="71" s="1"/>
  <c r="J61" i="71" s="1"/>
  <c r="K58" i="71"/>
  <c r="J63" i="71"/>
  <c r="K55" i="48"/>
  <c r="J57" i="48"/>
  <c r="H53" i="48"/>
  <c r="H50" i="48" s="1"/>
  <c r="H31" i="48" s="1"/>
  <c r="H30" i="48" s="1"/>
  <c r="I114" i="70"/>
  <c r="M177" i="44"/>
  <c r="M180" i="44" s="1"/>
  <c r="M189" i="44" s="1"/>
  <c r="L180" i="44"/>
  <c r="J47" i="45"/>
  <c r="J44" i="45"/>
  <c r="J72" i="45"/>
  <c r="J77" i="45" s="1"/>
  <c r="J45" i="45"/>
  <c r="J48" i="45"/>
  <c r="J49" i="45" s="1"/>
  <c r="J100" i="45"/>
  <c r="J104" i="41"/>
  <c r="J95" i="41"/>
  <c r="J116" i="41"/>
  <c r="J121" i="41" s="1"/>
  <c r="J96" i="41"/>
  <c r="J105" i="41"/>
  <c r="J97" i="41"/>
  <c r="J108" i="41"/>
  <c r="J102" i="41"/>
  <c r="J32" i="41"/>
  <c r="J112" i="41" s="1"/>
  <c r="H53" i="47"/>
  <c r="H50" i="47" s="1"/>
  <c r="H31" i="47" s="1"/>
  <c r="H30" i="47" s="1"/>
  <c r="J57" i="47"/>
  <c r="K55" i="47"/>
  <c r="I46" i="76"/>
  <c r="I71" i="76" s="1"/>
  <c r="G74" i="76"/>
  <c r="G111" i="76"/>
  <c r="G114" i="76" s="1"/>
  <c r="G102" i="76"/>
  <c r="H107" i="76"/>
  <c r="H109" i="76" s="1"/>
  <c r="H69" i="76"/>
  <c r="J200" i="76"/>
  <c r="K195" i="76"/>
  <c r="K180" i="76"/>
  <c r="L177" i="76"/>
  <c r="I234" i="76"/>
  <c r="I255" i="76"/>
  <c r="I258" i="76" s="1"/>
  <c r="J189" i="76"/>
  <c r="K124" i="76"/>
  <c r="J129" i="76"/>
  <c r="J138" i="76" s="1"/>
  <c r="J26" i="76"/>
  <c r="K24" i="76"/>
  <c r="H258" i="76"/>
  <c r="J230" i="76"/>
  <c r="J257" i="76" s="1"/>
  <c r="K223" i="76"/>
  <c r="I52" i="76"/>
  <c r="I49" i="76"/>
  <c r="K57" i="76"/>
  <c r="L55" i="76"/>
  <c r="M131" i="76"/>
  <c r="M136" i="76" s="1"/>
  <c r="L136" i="76"/>
  <c r="J63" i="76"/>
  <c r="J60" i="76"/>
  <c r="J64" i="76" s="1"/>
  <c r="J61" i="76" s="1"/>
  <c r="K58" i="76"/>
  <c r="K217" i="76"/>
  <c r="K256" i="76" s="1"/>
  <c r="L206" i="76"/>
  <c r="L146" i="76"/>
  <c r="K152" i="76"/>
  <c r="I116" i="76"/>
  <c r="I121" i="76" s="1"/>
  <c r="I108" i="76"/>
  <c r="I104" i="76"/>
  <c r="I96" i="76"/>
  <c r="I97" i="76"/>
  <c r="I105" i="76"/>
  <c r="I32" i="76"/>
  <c r="I112" i="76" s="1"/>
  <c r="K35" i="76"/>
  <c r="K29" i="76"/>
  <c r="L27" i="76"/>
  <c r="J48" i="76"/>
  <c r="J44" i="76"/>
  <c r="J45" i="76"/>
  <c r="J100" i="76"/>
  <c r="J72" i="76"/>
  <c r="J77" i="76" s="1"/>
  <c r="J47" i="76"/>
  <c r="M36" i="76"/>
  <c r="H121" i="76"/>
  <c r="P116" i="76"/>
  <c r="Q116" i="76" s="1"/>
  <c r="H79" i="76"/>
  <c r="H95" i="76" s="1"/>
  <c r="H70" i="76"/>
  <c r="K153" i="76"/>
  <c r="K250" i="76" s="1"/>
  <c r="J164" i="76"/>
  <c r="J165" i="76" s="1"/>
  <c r="J251" i="76" s="1"/>
  <c r="K158" i="76"/>
  <c r="K269" i="76"/>
  <c r="L266" i="76"/>
  <c r="K25" i="76"/>
  <c r="I98" i="76"/>
  <c r="L182" i="76"/>
  <c r="K187" i="76"/>
  <c r="M182" i="75"/>
  <c r="M187" i="75" s="1"/>
  <c r="L187" i="75"/>
  <c r="K217" i="75"/>
  <c r="K256" i="75" s="1"/>
  <c r="L206" i="75"/>
  <c r="K25" i="75"/>
  <c r="J48" i="75"/>
  <c r="J44" i="75"/>
  <c r="J45" i="75"/>
  <c r="J72" i="75"/>
  <c r="J77" i="75" s="1"/>
  <c r="J100" i="75"/>
  <c r="J47" i="75"/>
  <c r="I116" i="75"/>
  <c r="I121" i="75" s="1"/>
  <c r="I108" i="75"/>
  <c r="I104" i="75"/>
  <c r="I105" i="75"/>
  <c r="I102" i="75"/>
  <c r="I97" i="75"/>
  <c r="I96" i="75"/>
  <c r="I32" i="75"/>
  <c r="I112" i="75" s="1"/>
  <c r="I95" i="75"/>
  <c r="I31" i="75"/>
  <c r="I30" i="75" s="1"/>
  <c r="K146" i="75"/>
  <c r="J152" i="75"/>
  <c r="J153" i="75" s="1"/>
  <c r="J250" i="75" s="1"/>
  <c r="I234" i="75"/>
  <c r="I255" i="75"/>
  <c r="I258" i="75" s="1"/>
  <c r="H70" i="75"/>
  <c r="H76" i="75"/>
  <c r="H75" i="75" s="1"/>
  <c r="K35" i="75"/>
  <c r="K29" i="75"/>
  <c r="L27" i="75"/>
  <c r="H121" i="75"/>
  <c r="P116" i="75"/>
  <c r="Q116" i="75" s="1"/>
  <c r="P102" i="75"/>
  <c r="Q102" i="75" s="1"/>
  <c r="K57" i="75"/>
  <c r="L55" i="75"/>
  <c r="K164" i="75"/>
  <c r="L158" i="75"/>
  <c r="J190" i="75"/>
  <c r="J254" i="75" s="1"/>
  <c r="H107" i="75"/>
  <c r="H109" i="75" s="1"/>
  <c r="H69" i="75"/>
  <c r="H74" i="75" s="1"/>
  <c r="J129" i="75"/>
  <c r="J138" i="75" s="1"/>
  <c r="K124" i="75"/>
  <c r="J200" i="75"/>
  <c r="K195" i="75"/>
  <c r="L131" i="75"/>
  <c r="K136" i="75"/>
  <c r="K180" i="75"/>
  <c r="K189" i="75" s="1"/>
  <c r="L177" i="75"/>
  <c r="I70" i="75"/>
  <c r="I76" i="75"/>
  <c r="I75" i="75" s="1"/>
  <c r="I79" i="75"/>
  <c r="L36" i="75"/>
  <c r="J26" i="75"/>
  <c r="K24" i="75"/>
  <c r="K269" i="75"/>
  <c r="L266" i="75"/>
  <c r="J63" i="75"/>
  <c r="J60" i="75"/>
  <c r="J64" i="75" s="1"/>
  <c r="J61" i="75" s="1"/>
  <c r="K58" i="75"/>
  <c r="J230" i="75"/>
  <c r="J257" i="75" s="1"/>
  <c r="K223" i="75"/>
  <c r="L182" i="74"/>
  <c r="K187" i="74"/>
  <c r="K189" i="74" s="1"/>
  <c r="M177" i="74"/>
  <c r="M180" i="74" s="1"/>
  <c r="L180" i="74"/>
  <c r="J76" i="74"/>
  <c r="J75" i="74" s="1"/>
  <c r="J79" i="74"/>
  <c r="J70" i="74"/>
  <c r="M24" i="74"/>
  <c r="J200" i="74"/>
  <c r="K195" i="74"/>
  <c r="L36" i="74"/>
  <c r="M55" i="74"/>
  <c r="M57" i="74" s="1"/>
  <c r="L57" i="74"/>
  <c r="K230" i="74"/>
  <c r="K257" i="74" s="1"/>
  <c r="L223" i="74"/>
  <c r="K164" i="74"/>
  <c r="L158" i="74"/>
  <c r="K100" i="74"/>
  <c r="K47" i="74"/>
  <c r="K44" i="74"/>
  <c r="K72" i="74"/>
  <c r="K77" i="74" s="1"/>
  <c r="K48" i="74"/>
  <c r="K45" i="74"/>
  <c r="J60" i="74"/>
  <c r="J64" i="74" s="1"/>
  <c r="J61" i="74" s="1"/>
  <c r="J63" i="74"/>
  <c r="K58" i="74"/>
  <c r="J190" i="74"/>
  <c r="J254" i="74" s="1"/>
  <c r="L206" i="74"/>
  <c r="K217" i="74"/>
  <c r="K256" i="74" s="1"/>
  <c r="I255" i="74"/>
  <c r="I258" i="74" s="1"/>
  <c r="I234" i="74"/>
  <c r="I98" i="74"/>
  <c r="I99" i="74"/>
  <c r="I71" i="74"/>
  <c r="K165" i="74"/>
  <c r="K251" i="74" s="1"/>
  <c r="H107" i="74"/>
  <c r="H109" i="74" s="1"/>
  <c r="H69" i="74"/>
  <c r="H74" i="74" s="1"/>
  <c r="I53" i="74"/>
  <c r="I50" i="74" s="1"/>
  <c r="I31" i="74" s="1"/>
  <c r="I30" i="74" s="1"/>
  <c r="H98" i="74"/>
  <c r="H71" i="74"/>
  <c r="H99" i="74"/>
  <c r="K25" i="74"/>
  <c r="J26" i="74"/>
  <c r="I114" i="74"/>
  <c r="K269" i="74"/>
  <c r="L266" i="74"/>
  <c r="H107" i="73"/>
  <c r="H109" i="73" s="1"/>
  <c r="H69" i="73"/>
  <c r="H74" i="73" s="1"/>
  <c r="J95" i="73"/>
  <c r="J116" i="73"/>
  <c r="J121" i="73" s="1"/>
  <c r="J108" i="73"/>
  <c r="J104" i="73"/>
  <c r="J96" i="73"/>
  <c r="J32" i="73"/>
  <c r="J112" i="73" s="1"/>
  <c r="J105" i="73"/>
  <c r="J102" i="73"/>
  <c r="J97" i="73"/>
  <c r="J72" i="73"/>
  <c r="J77" i="73" s="1"/>
  <c r="J100" i="73"/>
  <c r="J44" i="73"/>
  <c r="J46" i="73" s="1"/>
  <c r="J47" i="73"/>
  <c r="J45" i="73"/>
  <c r="J48" i="73"/>
  <c r="J200" i="73"/>
  <c r="K195" i="73"/>
  <c r="H258" i="73"/>
  <c r="J230" i="73"/>
  <c r="J257" i="73" s="1"/>
  <c r="K223" i="73"/>
  <c r="J164" i="73"/>
  <c r="K158" i="73"/>
  <c r="I234" i="73"/>
  <c r="I255" i="73"/>
  <c r="I258" i="73" s="1"/>
  <c r="K131" i="73"/>
  <c r="J136" i="73"/>
  <c r="J138" i="73" s="1"/>
  <c r="K29" i="73"/>
  <c r="L27" i="73"/>
  <c r="K35" i="73"/>
  <c r="J190" i="73"/>
  <c r="J254" i="73" s="1"/>
  <c r="J165" i="73"/>
  <c r="J251" i="73" s="1"/>
  <c r="L25" i="73"/>
  <c r="K217" i="73"/>
  <c r="K256" i="73" s="1"/>
  <c r="L206" i="73"/>
  <c r="K36" i="73"/>
  <c r="J63" i="73"/>
  <c r="J60" i="73"/>
  <c r="J64" i="73" s="1"/>
  <c r="J61" i="73" s="1"/>
  <c r="K58" i="73"/>
  <c r="L124" i="73"/>
  <c r="K129" i="73"/>
  <c r="K269" i="73"/>
  <c r="L266" i="73"/>
  <c r="I52" i="73"/>
  <c r="I49" i="73"/>
  <c r="K26" i="73"/>
  <c r="L24" i="73"/>
  <c r="K57" i="73"/>
  <c r="L55" i="73"/>
  <c r="K180" i="73"/>
  <c r="L177" i="73"/>
  <c r="H76" i="73"/>
  <c r="H75" i="73" s="1"/>
  <c r="H79" i="73"/>
  <c r="H70" i="73"/>
  <c r="L182" i="73"/>
  <c r="K187" i="73"/>
  <c r="I46" i="73"/>
  <c r="H107" i="72"/>
  <c r="H69" i="72"/>
  <c r="H74" i="72" s="1"/>
  <c r="H109" i="72"/>
  <c r="P109" i="72" s="1"/>
  <c r="Q109" i="72" s="1"/>
  <c r="P102" i="72"/>
  <c r="Q102" i="72" s="1"/>
  <c r="K57" i="72"/>
  <c r="L55" i="72"/>
  <c r="I153" i="72"/>
  <c r="I250" i="72" s="1"/>
  <c r="M25" i="72"/>
  <c r="L164" i="72"/>
  <c r="M165" i="72" s="1"/>
  <c r="M251" i="72" s="1"/>
  <c r="M158" i="72"/>
  <c r="M164" i="72" s="1"/>
  <c r="K146" i="72"/>
  <c r="J152" i="72"/>
  <c r="J153" i="72" s="1"/>
  <c r="J250" i="72" s="1"/>
  <c r="K36" i="72"/>
  <c r="K131" i="72"/>
  <c r="J136" i="72"/>
  <c r="J138" i="72" s="1"/>
  <c r="L217" i="72"/>
  <c r="L256" i="72" s="1"/>
  <c r="M206" i="72"/>
  <c r="M217" i="72" s="1"/>
  <c r="M256" i="72" s="1"/>
  <c r="J255" i="72"/>
  <c r="J258" i="72" s="1"/>
  <c r="I52" i="72"/>
  <c r="I49" i="72"/>
  <c r="L182" i="72"/>
  <c r="K187" i="72"/>
  <c r="K58" i="72"/>
  <c r="J60" i="72"/>
  <c r="J64" i="72" s="1"/>
  <c r="J61" i="72" s="1"/>
  <c r="J63" i="72"/>
  <c r="J100" i="72"/>
  <c r="J72" i="72"/>
  <c r="J77" i="72" s="1"/>
  <c r="J45" i="72"/>
  <c r="J47" i="72"/>
  <c r="J48" i="72"/>
  <c r="J44" i="72"/>
  <c r="L124" i="72"/>
  <c r="K129" i="72"/>
  <c r="M177" i="72"/>
  <c r="M180" i="72" s="1"/>
  <c r="L180" i="72"/>
  <c r="I46" i="72"/>
  <c r="J26" i="72"/>
  <c r="K24" i="72"/>
  <c r="P116" i="72"/>
  <c r="Q116" i="72" s="1"/>
  <c r="H121" i="72"/>
  <c r="H98" i="72"/>
  <c r="H71" i="72"/>
  <c r="H99" i="72"/>
  <c r="K29" i="72"/>
  <c r="L27" i="72"/>
  <c r="K35" i="72"/>
  <c r="M266" i="72"/>
  <c r="M269" i="72" s="1"/>
  <c r="L269" i="72"/>
  <c r="K223" i="72"/>
  <c r="J230" i="72"/>
  <c r="J257" i="72" s="1"/>
  <c r="K200" i="72"/>
  <c r="L195" i="72"/>
  <c r="K189" i="72"/>
  <c r="K190" i="72" s="1"/>
  <c r="K254" i="72" s="1"/>
  <c r="I116" i="72"/>
  <c r="I121" i="72" s="1"/>
  <c r="I95" i="72"/>
  <c r="I104" i="72"/>
  <c r="I105" i="72"/>
  <c r="I102" i="72"/>
  <c r="I32" i="72"/>
  <c r="I112" i="72" s="1"/>
  <c r="I97" i="72"/>
  <c r="I108" i="72"/>
  <c r="I96" i="72"/>
  <c r="I234" i="72"/>
  <c r="H107" i="71"/>
  <c r="H69" i="71"/>
  <c r="H74" i="71" s="1"/>
  <c r="K57" i="71"/>
  <c r="L55" i="71"/>
  <c r="I234" i="71"/>
  <c r="I255" i="71"/>
  <c r="P116" i="71"/>
  <c r="Q116" i="71" s="1"/>
  <c r="H121" i="71"/>
  <c r="J26" i="71"/>
  <c r="K24" i="71"/>
  <c r="M131" i="71"/>
  <c r="M136" i="71" s="1"/>
  <c r="L136" i="71"/>
  <c r="L138" i="71" s="1"/>
  <c r="K180" i="71"/>
  <c r="L177" i="71"/>
  <c r="J100" i="71"/>
  <c r="J72" i="71"/>
  <c r="J77" i="71" s="1"/>
  <c r="J48" i="71"/>
  <c r="J44" i="71"/>
  <c r="J46" i="71" s="1"/>
  <c r="J45" i="71"/>
  <c r="J47" i="71"/>
  <c r="K269" i="71"/>
  <c r="L266" i="71"/>
  <c r="H76" i="71"/>
  <c r="H75" i="71" s="1"/>
  <c r="H79" i="71"/>
  <c r="H70" i="71"/>
  <c r="H109" i="71"/>
  <c r="P109" i="71" s="1"/>
  <c r="Q109" i="71" s="1"/>
  <c r="K217" i="71"/>
  <c r="K256" i="71" s="1"/>
  <c r="L206" i="71"/>
  <c r="I95" i="71"/>
  <c r="I116" i="71"/>
  <c r="I121" i="71" s="1"/>
  <c r="I108" i="71"/>
  <c r="I104" i="71"/>
  <c r="I96" i="71"/>
  <c r="I105" i="71"/>
  <c r="I102" i="71"/>
  <c r="I97" i="71"/>
  <c r="I32" i="71"/>
  <c r="I112" i="71" s="1"/>
  <c r="I99" i="71"/>
  <c r="I98" i="71"/>
  <c r="I71" i="71"/>
  <c r="L182" i="71"/>
  <c r="K187" i="71"/>
  <c r="P102" i="71"/>
  <c r="Q102" i="71" s="1"/>
  <c r="I190" i="71"/>
  <c r="I254" i="71" s="1"/>
  <c r="I49" i="71"/>
  <c r="I53" i="71" s="1"/>
  <c r="I50" i="71" s="1"/>
  <c r="I31" i="71" s="1"/>
  <c r="I30" i="71" s="1"/>
  <c r="I52" i="71"/>
  <c r="L164" i="71"/>
  <c r="M158" i="71"/>
  <c r="M164" i="71" s="1"/>
  <c r="K35" i="71"/>
  <c r="K29" i="71"/>
  <c r="L27" i="71"/>
  <c r="M138" i="71"/>
  <c r="L146" i="71"/>
  <c r="K152" i="71"/>
  <c r="K153" i="71" s="1"/>
  <c r="K250" i="71" s="1"/>
  <c r="K36" i="71"/>
  <c r="J200" i="71"/>
  <c r="K195" i="71"/>
  <c r="J230" i="71"/>
  <c r="J257" i="71" s="1"/>
  <c r="K223" i="71"/>
  <c r="J164" i="70"/>
  <c r="J165" i="70" s="1"/>
  <c r="J251" i="70" s="1"/>
  <c r="K158" i="70"/>
  <c r="J230" i="70"/>
  <c r="J257" i="70" s="1"/>
  <c r="K223" i="70"/>
  <c r="K217" i="70"/>
  <c r="K256" i="70" s="1"/>
  <c r="L206" i="70"/>
  <c r="H98" i="70"/>
  <c r="H71" i="70"/>
  <c r="H99" i="70"/>
  <c r="L124" i="70"/>
  <c r="K129" i="70"/>
  <c r="K60" i="70"/>
  <c r="L58" i="70"/>
  <c r="K63" i="70"/>
  <c r="K26" i="70"/>
  <c r="L24" i="70"/>
  <c r="J29" i="70"/>
  <c r="K27" i="70"/>
  <c r="J35" i="70"/>
  <c r="H52" i="70"/>
  <c r="H49" i="70"/>
  <c r="H53" i="70" s="1"/>
  <c r="H50" i="70" s="1"/>
  <c r="H31" i="70" s="1"/>
  <c r="H30" i="70" s="1"/>
  <c r="L36" i="70"/>
  <c r="J116" i="70"/>
  <c r="J121" i="70" s="1"/>
  <c r="J108" i="70"/>
  <c r="J104" i="70"/>
  <c r="J96" i="70"/>
  <c r="J105" i="70"/>
  <c r="J102" i="70"/>
  <c r="J97" i="70"/>
  <c r="J32" i="70"/>
  <c r="J112" i="70" s="1"/>
  <c r="J95" i="70"/>
  <c r="K180" i="70"/>
  <c r="L177" i="70"/>
  <c r="G107" i="70"/>
  <c r="G109" i="70" s="1"/>
  <c r="G140" i="70" s="1"/>
  <c r="G69" i="70"/>
  <c r="G74" i="70" s="1"/>
  <c r="L182" i="70"/>
  <c r="K187" i="70"/>
  <c r="K269" i="70"/>
  <c r="L266" i="70"/>
  <c r="J57" i="70"/>
  <c r="K55" i="70"/>
  <c r="J200" i="70"/>
  <c r="K195" i="70"/>
  <c r="K131" i="70"/>
  <c r="J136" i="70"/>
  <c r="J138" i="70" s="1"/>
  <c r="G99" i="70"/>
  <c r="G98" i="70"/>
  <c r="G71" i="70"/>
  <c r="I100" i="70"/>
  <c r="I47" i="70"/>
  <c r="I72" i="70"/>
  <c r="I77" i="70" s="1"/>
  <c r="I48" i="70"/>
  <c r="I44" i="70"/>
  <c r="I46" i="70" s="1"/>
  <c r="I45" i="70"/>
  <c r="I234" i="70"/>
  <c r="I255" i="70"/>
  <c r="I258" i="70" s="1"/>
  <c r="L25" i="70"/>
  <c r="K25" i="69"/>
  <c r="J26" i="69"/>
  <c r="I72" i="69"/>
  <c r="I77" i="69" s="1"/>
  <c r="I48" i="69"/>
  <c r="I44" i="69"/>
  <c r="I45" i="69"/>
  <c r="I47" i="69"/>
  <c r="I100" i="69"/>
  <c r="L165" i="69"/>
  <c r="L251" i="69" s="1"/>
  <c r="K131" i="69"/>
  <c r="J136" i="69"/>
  <c r="J138" i="69" s="1"/>
  <c r="K165" i="69"/>
  <c r="K251" i="69" s="1"/>
  <c r="H114" i="69"/>
  <c r="J200" i="69"/>
  <c r="K195" i="69"/>
  <c r="J63" i="69"/>
  <c r="K58" i="69"/>
  <c r="J60" i="69"/>
  <c r="J189" i="69"/>
  <c r="K152" i="69"/>
  <c r="K153" i="69" s="1"/>
  <c r="K250" i="69" s="1"/>
  <c r="L146" i="69"/>
  <c r="K56" i="69"/>
  <c r="J57" i="69"/>
  <c r="H98" i="69"/>
  <c r="H71" i="69"/>
  <c r="H99" i="69"/>
  <c r="L164" i="69"/>
  <c r="M158" i="69"/>
  <c r="M164" i="69" s="1"/>
  <c r="M24" i="69"/>
  <c r="J230" i="69"/>
  <c r="J257" i="69" s="1"/>
  <c r="K223" i="69"/>
  <c r="L217" i="69"/>
  <c r="L256" i="69" s="1"/>
  <c r="M206" i="69"/>
  <c r="M217" i="69" s="1"/>
  <c r="M256" i="69" s="1"/>
  <c r="M182" i="69"/>
  <c r="M187" i="69" s="1"/>
  <c r="L187" i="69"/>
  <c r="P102" i="69"/>
  <c r="Q102" i="69" s="1"/>
  <c r="I234" i="69"/>
  <c r="I255" i="69"/>
  <c r="I64" i="69"/>
  <c r="I61" i="69" s="1"/>
  <c r="H53" i="69"/>
  <c r="H50" i="69" s="1"/>
  <c r="H31" i="69" s="1"/>
  <c r="H30" i="69" s="1"/>
  <c r="P116" i="69"/>
  <c r="Q116" i="69" s="1"/>
  <c r="H121" i="69"/>
  <c r="J35" i="69"/>
  <c r="J29" i="69"/>
  <c r="K27" i="69"/>
  <c r="K180" i="69"/>
  <c r="K189" i="69" s="1"/>
  <c r="L177" i="69"/>
  <c r="I116" i="69"/>
  <c r="I121" i="69" s="1"/>
  <c r="I95" i="69"/>
  <c r="I108" i="69"/>
  <c r="I96" i="69"/>
  <c r="I32" i="69"/>
  <c r="I112" i="69" s="1"/>
  <c r="I97" i="69"/>
  <c r="I104" i="69"/>
  <c r="I105" i="69"/>
  <c r="I102" i="69"/>
  <c r="L129" i="69"/>
  <c r="M124" i="69"/>
  <c r="M129" i="69" s="1"/>
  <c r="G76" i="69"/>
  <c r="G75" i="69" s="1"/>
  <c r="G79" i="69"/>
  <c r="G70" i="69"/>
  <c r="M266" i="69"/>
  <c r="M269" i="69" s="1"/>
  <c r="L269" i="69"/>
  <c r="L36" i="69"/>
  <c r="I190" i="69"/>
  <c r="I254" i="69" s="1"/>
  <c r="J100" i="63"/>
  <c r="J72" i="63"/>
  <c r="J77" i="63" s="1"/>
  <c r="J48" i="63"/>
  <c r="J44" i="63"/>
  <c r="J47" i="63"/>
  <c r="J45" i="63"/>
  <c r="P102" i="63"/>
  <c r="Q102" i="63" s="1"/>
  <c r="L182" i="63"/>
  <c r="K187" i="63"/>
  <c r="L124" i="63"/>
  <c r="K129" i="63"/>
  <c r="K131" i="63"/>
  <c r="J136" i="63"/>
  <c r="K25" i="63"/>
  <c r="I98" i="63"/>
  <c r="I99" i="63"/>
  <c r="I71" i="63"/>
  <c r="I234" i="63"/>
  <c r="I255" i="63"/>
  <c r="J26" i="63"/>
  <c r="K24" i="63"/>
  <c r="M58" i="63"/>
  <c r="K29" i="63"/>
  <c r="L27" i="63"/>
  <c r="K35" i="63"/>
  <c r="L177" i="63"/>
  <c r="K180" i="63"/>
  <c r="K189" i="63" s="1"/>
  <c r="K36" i="63"/>
  <c r="J153" i="63"/>
  <c r="J250" i="63" s="1"/>
  <c r="P116" i="63"/>
  <c r="Q116" i="63" s="1"/>
  <c r="H121" i="63"/>
  <c r="K217" i="63"/>
  <c r="K256" i="63" s="1"/>
  <c r="L206" i="63"/>
  <c r="I31" i="63"/>
  <c r="I30" i="63" s="1"/>
  <c r="I258" i="63"/>
  <c r="J189" i="63"/>
  <c r="G79" i="63"/>
  <c r="G70" i="63"/>
  <c r="G76" i="63"/>
  <c r="G75" i="63" s="1"/>
  <c r="H70" i="63"/>
  <c r="H76" i="63"/>
  <c r="H75" i="63" s="1"/>
  <c r="H79" i="63"/>
  <c r="I52" i="63"/>
  <c r="I49" i="63"/>
  <c r="I53" i="63" s="1"/>
  <c r="I50" i="63" s="1"/>
  <c r="K59" i="63"/>
  <c r="J63" i="63"/>
  <c r="J60" i="63"/>
  <c r="J64" i="63" s="1"/>
  <c r="J61" i="63" s="1"/>
  <c r="I165" i="63"/>
  <c r="I251" i="63" s="1"/>
  <c r="H107" i="63"/>
  <c r="H109" i="63" s="1"/>
  <c r="H69" i="63"/>
  <c r="H74" i="63" s="1"/>
  <c r="J190" i="63"/>
  <c r="J254" i="63" s="1"/>
  <c r="J269" i="63"/>
  <c r="K266" i="63"/>
  <c r="K152" i="63"/>
  <c r="L146" i="63"/>
  <c r="J200" i="63"/>
  <c r="K195" i="63"/>
  <c r="K57" i="63"/>
  <c r="L55" i="63"/>
  <c r="J164" i="63"/>
  <c r="J165" i="63" s="1"/>
  <c r="J251" i="63" s="1"/>
  <c r="K158" i="63"/>
  <c r="I105" i="63"/>
  <c r="I102" i="63"/>
  <c r="I95" i="63"/>
  <c r="I116" i="63"/>
  <c r="I121" i="63" s="1"/>
  <c r="I96" i="63"/>
  <c r="I104" i="63"/>
  <c r="I97" i="63"/>
  <c r="I108" i="63"/>
  <c r="I32" i="63"/>
  <c r="I112" i="63" s="1"/>
  <c r="J138" i="63"/>
  <c r="J230" i="63"/>
  <c r="J257" i="63" s="1"/>
  <c r="K223" i="63"/>
  <c r="I190" i="45"/>
  <c r="I254" i="45" s="1"/>
  <c r="J230" i="45"/>
  <c r="J257" i="45" s="1"/>
  <c r="K223" i="45"/>
  <c r="I105" i="45"/>
  <c r="I102" i="45"/>
  <c r="I108" i="45"/>
  <c r="I97" i="45"/>
  <c r="I96" i="45"/>
  <c r="I116" i="45"/>
  <c r="I121" i="45" s="1"/>
  <c r="I104" i="45"/>
  <c r="I95" i="45"/>
  <c r="I32" i="45"/>
  <c r="I112" i="45" s="1"/>
  <c r="I31" i="45"/>
  <c r="I30" i="45" s="1"/>
  <c r="I69" i="45" s="1"/>
  <c r="I74" i="45" s="1"/>
  <c r="J187" i="45"/>
  <c r="J189" i="45" s="1"/>
  <c r="K182" i="45"/>
  <c r="K25" i="45"/>
  <c r="J26" i="45"/>
  <c r="G107" i="45"/>
  <c r="G109" i="45" s="1"/>
  <c r="G140" i="45" s="1"/>
  <c r="G69" i="45"/>
  <c r="G74" i="45" s="1"/>
  <c r="K217" i="45"/>
  <c r="K256" i="45" s="1"/>
  <c r="L206" i="45"/>
  <c r="L158" i="45"/>
  <c r="K164" i="45"/>
  <c r="I98" i="45"/>
  <c r="I71" i="45"/>
  <c r="I99" i="45"/>
  <c r="H52" i="45"/>
  <c r="H49" i="45"/>
  <c r="H53" i="45" s="1"/>
  <c r="H50" i="45" s="1"/>
  <c r="H31" i="45" s="1"/>
  <c r="H30" i="45" s="1"/>
  <c r="K63" i="45"/>
  <c r="K60" i="45"/>
  <c r="K64" i="45" s="1"/>
  <c r="K61" i="45" s="1"/>
  <c r="L58" i="45"/>
  <c r="K131" i="45"/>
  <c r="J136" i="45"/>
  <c r="J138" i="45" s="1"/>
  <c r="L124" i="45"/>
  <c r="K129" i="45"/>
  <c r="K269" i="45"/>
  <c r="L266" i="45"/>
  <c r="J200" i="45"/>
  <c r="K195" i="45"/>
  <c r="H71" i="45"/>
  <c r="H99" i="45"/>
  <c r="H98" i="45"/>
  <c r="H258" i="45"/>
  <c r="M36" i="45"/>
  <c r="L152" i="45"/>
  <c r="M146" i="45"/>
  <c r="M152" i="45" s="1"/>
  <c r="M24" i="45"/>
  <c r="I234" i="45"/>
  <c r="I255" i="45"/>
  <c r="H107" i="46"/>
  <c r="H109" i="46" s="1"/>
  <c r="H69" i="46"/>
  <c r="H74" i="46" s="1"/>
  <c r="H114" i="46"/>
  <c r="P102" i="46"/>
  <c r="Q102" i="46" s="1"/>
  <c r="K164" i="46"/>
  <c r="L158" i="46"/>
  <c r="I258" i="46"/>
  <c r="I234" i="46"/>
  <c r="I72" i="46"/>
  <c r="I77" i="46" s="1"/>
  <c r="I48" i="46"/>
  <c r="I44" i="46"/>
  <c r="I45" i="46"/>
  <c r="I100" i="46"/>
  <c r="I47" i="46"/>
  <c r="M266" i="46"/>
  <c r="M269" i="46" s="1"/>
  <c r="L269" i="46"/>
  <c r="M182" i="46"/>
  <c r="M187" i="46" s="1"/>
  <c r="L187" i="46"/>
  <c r="M24" i="46"/>
  <c r="K200" i="46"/>
  <c r="L195" i="46"/>
  <c r="J180" i="46"/>
  <c r="J189" i="46" s="1"/>
  <c r="K177" i="46"/>
  <c r="K58" i="46"/>
  <c r="J60" i="46"/>
  <c r="J63" i="46"/>
  <c r="K56" i="46"/>
  <c r="J57" i="46"/>
  <c r="L217" i="46"/>
  <c r="L256" i="46" s="1"/>
  <c r="M206" i="46"/>
  <c r="M217" i="46" s="1"/>
  <c r="M256" i="46" s="1"/>
  <c r="M36" i="46"/>
  <c r="K165" i="46"/>
  <c r="K251" i="46" s="1"/>
  <c r="H79" i="46"/>
  <c r="H70" i="46"/>
  <c r="H76" i="46"/>
  <c r="H75" i="46" s="1"/>
  <c r="J136" i="46"/>
  <c r="J138" i="46" s="1"/>
  <c r="K131" i="46"/>
  <c r="P116" i="46"/>
  <c r="Q116" i="46" s="1"/>
  <c r="H121" i="46"/>
  <c r="I116" i="46"/>
  <c r="I121" i="46" s="1"/>
  <c r="I95" i="46"/>
  <c r="I104" i="46"/>
  <c r="I105" i="46"/>
  <c r="I102" i="46"/>
  <c r="I108" i="46"/>
  <c r="I96" i="46"/>
  <c r="I32" i="46"/>
  <c r="I112" i="46" s="1"/>
  <c r="I97" i="46"/>
  <c r="J255" i="46"/>
  <c r="J35" i="46"/>
  <c r="J29" i="46"/>
  <c r="K27" i="46"/>
  <c r="K223" i="46"/>
  <c r="J230" i="46"/>
  <c r="J257" i="46" s="1"/>
  <c r="L146" i="46"/>
  <c r="K152" i="46"/>
  <c r="J165" i="46"/>
  <c r="J251" i="46" s="1"/>
  <c r="K25" i="46"/>
  <c r="J26" i="46"/>
  <c r="H107" i="47"/>
  <c r="H109" i="47" s="1"/>
  <c r="H69" i="47"/>
  <c r="H74" i="47" s="1"/>
  <c r="K217" i="47"/>
  <c r="K256" i="47" s="1"/>
  <c r="L206" i="47"/>
  <c r="J29" i="47"/>
  <c r="K27" i="47"/>
  <c r="J35" i="47"/>
  <c r="J230" i="47"/>
  <c r="J257" i="47" s="1"/>
  <c r="K223" i="47"/>
  <c r="J95" i="47"/>
  <c r="J116" i="47"/>
  <c r="J121" i="47" s="1"/>
  <c r="J108" i="47"/>
  <c r="J104" i="47"/>
  <c r="J96" i="47"/>
  <c r="J32" i="47"/>
  <c r="J112" i="47" s="1"/>
  <c r="J97" i="47"/>
  <c r="J105" i="47"/>
  <c r="J102" i="47"/>
  <c r="J164" i="47"/>
  <c r="K158" i="47"/>
  <c r="M153" i="47"/>
  <c r="M250" i="47" s="1"/>
  <c r="K131" i="47"/>
  <c r="J136" i="47"/>
  <c r="J138" i="47" s="1"/>
  <c r="H76" i="47"/>
  <c r="H75" i="47" s="1"/>
  <c r="H79" i="47"/>
  <c r="H70" i="47"/>
  <c r="K180" i="47"/>
  <c r="L177" i="47"/>
  <c r="I31" i="47"/>
  <c r="I30" i="47" s="1"/>
  <c r="J165" i="47"/>
  <c r="J251" i="47" s="1"/>
  <c r="I114" i="47"/>
  <c r="J200" i="47"/>
  <c r="K195" i="47"/>
  <c r="J189" i="47"/>
  <c r="L25" i="47"/>
  <c r="K26" i="47"/>
  <c r="K269" i="47"/>
  <c r="L266" i="47"/>
  <c r="L182" i="47"/>
  <c r="K187" i="47"/>
  <c r="L124" i="47"/>
  <c r="K129" i="47"/>
  <c r="J63" i="47"/>
  <c r="J60" i="47"/>
  <c r="J64" i="47" s="1"/>
  <c r="J61" i="47" s="1"/>
  <c r="K58" i="47"/>
  <c r="I234" i="47"/>
  <c r="I255" i="47"/>
  <c r="I258" i="47" s="1"/>
  <c r="L153" i="48"/>
  <c r="L250" i="48" s="1"/>
  <c r="K200" i="48"/>
  <c r="L195" i="48"/>
  <c r="I105" i="48"/>
  <c r="I102" i="48"/>
  <c r="I97" i="48"/>
  <c r="I95" i="48"/>
  <c r="I32" i="48"/>
  <c r="I112" i="48" s="1"/>
  <c r="I104" i="48"/>
  <c r="I96" i="48"/>
  <c r="I108" i="48"/>
  <c r="I116" i="48"/>
  <c r="I121" i="48" s="1"/>
  <c r="J217" i="48"/>
  <c r="J256" i="48" s="1"/>
  <c r="K206" i="48"/>
  <c r="J234" i="48"/>
  <c r="J255" i="48"/>
  <c r="J153" i="48"/>
  <c r="J250" i="48" s="1"/>
  <c r="J26" i="48"/>
  <c r="K24" i="48"/>
  <c r="K269" i="48"/>
  <c r="L266" i="48"/>
  <c r="K29" i="48"/>
  <c r="L27" i="48"/>
  <c r="K35" i="48"/>
  <c r="J164" i="48"/>
  <c r="K158" i="48"/>
  <c r="L182" i="48"/>
  <c r="K187" i="48"/>
  <c r="K25" i="48"/>
  <c r="L36" i="48"/>
  <c r="I190" i="48"/>
  <c r="I254" i="48" s="1"/>
  <c r="I258" i="48" s="1"/>
  <c r="L131" i="48"/>
  <c r="K136" i="48"/>
  <c r="H107" i="48"/>
  <c r="H109" i="48" s="1"/>
  <c r="H69" i="48"/>
  <c r="H74" i="48" s="1"/>
  <c r="H70" i="48"/>
  <c r="H79" i="48"/>
  <c r="H76" i="48"/>
  <c r="H75" i="48" s="1"/>
  <c r="I98" i="48"/>
  <c r="I99" i="48"/>
  <c r="I71" i="48"/>
  <c r="J60" i="48"/>
  <c r="J64" i="48" s="1"/>
  <c r="J61" i="48" s="1"/>
  <c r="J63" i="48"/>
  <c r="K58" i="48"/>
  <c r="K138" i="48"/>
  <c r="J180" i="48"/>
  <c r="J189" i="48" s="1"/>
  <c r="K177" i="48"/>
  <c r="H98" i="49"/>
  <c r="H71" i="49"/>
  <c r="H99" i="49"/>
  <c r="L124" i="49"/>
  <c r="K129" i="49"/>
  <c r="K36" i="49"/>
  <c r="K190" i="49"/>
  <c r="K254" i="49" s="1"/>
  <c r="J190" i="49"/>
  <c r="J254" i="49" s="1"/>
  <c r="K224" i="49"/>
  <c r="J230" i="49"/>
  <c r="J257" i="49" s="1"/>
  <c r="J100" i="49"/>
  <c r="J72" i="49"/>
  <c r="J77" i="49" s="1"/>
  <c r="J47" i="49"/>
  <c r="J48" i="49"/>
  <c r="J44" i="49"/>
  <c r="J46" i="49" s="1"/>
  <c r="J45" i="49"/>
  <c r="P116" i="49"/>
  <c r="Q116" i="49" s="1"/>
  <c r="H121" i="49"/>
  <c r="M177" i="49"/>
  <c r="M180" i="49" s="1"/>
  <c r="L180" i="49"/>
  <c r="J26" i="49"/>
  <c r="K24" i="49"/>
  <c r="J164" i="49"/>
  <c r="K158" i="49"/>
  <c r="K131" i="49"/>
  <c r="J136" i="49"/>
  <c r="J60" i="49"/>
  <c r="J64" i="49" s="1"/>
  <c r="J61" i="49" s="1"/>
  <c r="J63" i="49"/>
  <c r="K58" i="49"/>
  <c r="M223" i="49"/>
  <c r="I46" i="49"/>
  <c r="K57" i="49"/>
  <c r="L55" i="49"/>
  <c r="L187" i="49"/>
  <c r="M182" i="49"/>
  <c r="M187" i="49" s="1"/>
  <c r="K25" i="49"/>
  <c r="H49" i="49"/>
  <c r="H53" i="49" s="1"/>
  <c r="H50" i="49" s="1"/>
  <c r="H31" i="49" s="1"/>
  <c r="H30" i="49" s="1"/>
  <c r="H52" i="49"/>
  <c r="I105" i="49"/>
  <c r="I102" i="49"/>
  <c r="I97" i="49"/>
  <c r="I95" i="49"/>
  <c r="I96" i="49"/>
  <c r="I116" i="49"/>
  <c r="I121" i="49" s="1"/>
  <c r="I104" i="49"/>
  <c r="I32" i="49"/>
  <c r="I112" i="49" s="1"/>
  <c r="I108" i="49"/>
  <c r="K29" i="49"/>
  <c r="L27" i="49"/>
  <c r="K35" i="49"/>
  <c r="J200" i="49"/>
  <c r="K195" i="49"/>
  <c r="P102" i="49"/>
  <c r="Q102" i="49" s="1"/>
  <c r="K269" i="49"/>
  <c r="L266" i="49"/>
  <c r="K217" i="49"/>
  <c r="K256" i="49" s="1"/>
  <c r="L206" i="49"/>
  <c r="M153" i="49"/>
  <c r="M250" i="49" s="1"/>
  <c r="J138" i="49"/>
  <c r="H258" i="49"/>
  <c r="I234" i="49"/>
  <c r="I255" i="49"/>
  <c r="I258" i="49" s="1"/>
  <c r="I52" i="49"/>
  <c r="I49" i="49"/>
  <c r="H107" i="50"/>
  <c r="H109" i="50" s="1"/>
  <c r="P109" i="50" s="1"/>
  <c r="Q109" i="50" s="1"/>
  <c r="H69" i="50"/>
  <c r="H74" i="50" s="1"/>
  <c r="I153" i="50"/>
  <c r="I250" i="50" s="1"/>
  <c r="P102" i="50"/>
  <c r="Q102" i="50" s="1"/>
  <c r="K165" i="50"/>
  <c r="K251" i="50" s="1"/>
  <c r="K36" i="50"/>
  <c r="K146" i="50"/>
  <c r="J152" i="50"/>
  <c r="L63" i="50"/>
  <c r="L60" i="50"/>
  <c r="M58" i="50"/>
  <c r="L124" i="50"/>
  <c r="K129" i="50"/>
  <c r="H114" i="50"/>
  <c r="L182" i="50"/>
  <c r="K187" i="50"/>
  <c r="L131" i="50"/>
  <c r="K136" i="50"/>
  <c r="K57" i="50"/>
  <c r="K64" i="50" s="1"/>
  <c r="K61" i="50" s="1"/>
  <c r="L55" i="50"/>
  <c r="I69" i="50"/>
  <c r="I74" i="50" s="1"/>
  <c r="I234" i="50"/>
  <c r="I255" i="50"/>
  <c r="I258" i="50" s="1"/>
  <c r="K269" i="50"/>
  <c r="L266" i="50"/>
  <c r="J138" i="50"/>
  <c r="H121" i="50"/>
  <c r="P116" i="50"/>
  <c r="Q116" i="50" s="1"/>
  <c r="J230" i="50"/>
  <c r="J257" i="50" s="1"/>
  <c r="K223" i="50"/>
  <c r="J100" i="50"/>
  <c r="J47" i="50"/>
  <c r="J72" i="50"/>
  <c r="J77" i="50" s="1"/>
  <c r="J48" i="50"/>
  <c r="J44" i="50"/>
  <c r="J45" i="50"/>
  <c r="J26" i="50"/>
  <c r="K24" i="50"/>
  <c r="K180" i="50"/>
  <c r="L177" i="50"/>
  <c r="M25" i="50"/>
  <c r="H99" i="50"/>
  <c r="H98" i="50"/>
  <c r="H71" i="50"/>
  <c r="J200" i="50"/>
  <c r="K195" i="50"/>
  <c r="I76" i="50"/>
  <c r="I75" i="50" s="1"/>
  <c r="I70" i="50"/>
  <c r="I79" i="50"/>
  <c r="J165" i="50"/>
  <c r="J251" i="50" s="1"/>
  <c r="K29" i="50"/>
  <c r="L27" i="50"/>
  <c r="K35" i="50"/>
  <c r="K164" i="50"/>
  <c r="L158" i="50"/>
  <c r="K217" i="50"/>
  <c r="K256" i="50" s="1"/>
  <c r="L206" i="50"/>
  <c r="I116" i="50"/>
  <c r="I121" i="50" s="1"/>
  <c r="I114" i="50"/>
  <c r="I108" i="50"/>
  <c r="I104" i="50"/>
  <c r="I96" i="50"/>
  <c r="I105" i="50"/>
  <c r="I102" i="50"/>
  <c r="I97" i="50"/>
  <c r="I95" i="50"/>
  <c r="I32" i="50"/>
  <c r="I112" i="50" s="1"/>
  <c r="J189" i="50"/>
  <c r="L131" i="43"/>
  <c r="K136" i="43"/>
  <c r="K55" i="43"/>
  <c r="J57" i="43"/>
  <c r="I114" i="43"/>
  <c r="K180" i="43"/>
  <c r="L177" i="43"/>
  <c r="J230" i="43"/>
  <c r="J257" i="43" s="1"/>
  <c r="K223" i="43"/>
  <c r="H258" i="43"/>
  <c r="K26" i="43"/>
  <c r="L24" i="43"/>
  <c r="J105" i="43"/>
  <c r="J102" i="43"/>
  <c r="J97" i="43"/>
  <c r="J95" i="43"/>
  <c r="J104" i="43"/>
  <c r="J116" i="43"/>
  <c r="J121" i="43" s="1"/>
  <c r="J108" i="43"/>
  <c r="J32" i="43"/>
  <c r="J112" i="43" s="1"/>
  <c r="J96" i="43"/>
  <c r="I100" i="43"/>
  <c r="I72" i="43"/>
  <c r="I77" i="43" s="1"/>
  <c r="I45" i="43"/>
  <c r="I47" i="43"/>
  <c r="I48" i="43"/>
  <c r="I44" i="43"/>
  <c r="K217" i="43"/>
  <c r="K256" i="43" s="1"/>
  <c r="L206" i="43"/>
  <c r="H52" i="43"/>
  <c r="H49" i="43"/>
  <c r="J189" i="43"/>
  <c r="K164" i="43"/>
  <c r="L158" i="43"/>
  <c r="M25" i="43"/>
  <c r="I234" i="43"/>
  <c r="I255" i="43"/>
  <c r="I258" i="43" s="1"/>
  <c r="J29" i="43"/>
  <c r="K27" i="43"/>
  <c r="J35" i="43"/>
  <c r="I64" i="43"/>
  <c r="I61" i="43" s="1"/>
  <c r="L182" i="43"/>
  <c r="K187" i="43"/>
  <c r="H46" i="43"/>
  <c r="K63" i="43"/>
  <c r="K60" i="43"/>
  <c r="L58" i="43"/>
  <c r="L124" i="43"/>
  <c r="K129" i="43"/>
  <c r="K138" i="43" s="1"/>
  <c r="J200" i="43"/>
  <c r="K195" i="43"/>
  <c r="L36" i="43"/>
  <c r="K269" i="43"/>
  <c r="L266" i="43"/>
  <c r="K146" i="43"/>
  <c r="J152" i="43"/>
  <c r="J153" i="43" s="1"/>
  <c r="J250" i="43" s="1"/>
  <c r="H107" i="44"/>
  <c r="J29" i="44"/>
  <c r="K27" i="44"/>
  <c r="J35" i="44"/>
  <c r="L25" i="44"/>
  <c r="J26" i="44"/>
  <c r="K24" i="44"/>
  <c r="J200" i="44"/>
  <c r="K195" i="44"/>
  <c r="I116" i="44"/>
  <c r="I121" i="44" s="1"/>
  <c r="I108" i="44"/>
  <c r="I104" i="44"/>
  <c r="I96" i="44"/>
  <c r="I32" i="44"/>
  <c r="I112" i="44" s="1"/>
  <c r="I105" i="44"/>
  <c r="I102" i="44"/>
  <c r="I97" i="44"/>
  <c r="I95" i="44"/>
  <c r="H69" i="44"/>
  <c r="H74" i="44" s="1"/>
  <c r="L217" i="44"/>
  <c r="L256" i="44" s="1"/>
  <c r="M206" i="44"/>
  <c r="M217" i="44" s="1"/>
  <c r="M256" i="44" s="1"/>
  <c r="J153" i="44"/>
  <c r="J250" i="44" s="1"/>
  <c r="L131" i="44"/>
  <c r="K136" i="44"/>
  <c r="K138" i="44" s="1"/>
  <c r="L60" i="44"/>
  <c r="L63" i="44"/>
  <c r="M58" i="44"/>
  <c r="I234" i="44"/>
  <c r="I255" i="44"/>
  <c r="I258" i="44" s="1"/>
  <c r="J57" i="44"/>
  <c r="K55" i="44"/>
  <c r="H114" i="44"/>
  <c r="M36" i="44"/>
  <c r="G98" i="44"/>
  <c r="G71" i="44"/>
  <c r="G99" i="44"/>
  <c r="L190" i="44"/>
  <c r="L254" i="44" s="1"/>
  <c r="K164" i="44"/>
  <c r="K165" i="44" s="1"/>
  <c r="K251" i="44" s="1"/>
  <c r="L158" i="44"/>
  <c r="G53" i="44"/>
  <c r="G50" i="44" s="1"/>
  <c r="G31" i="44" s="1"/>
  <c r="G30" i="44" s="1"/>
  <c r="J269" i="44"/>
  <c r="K266" i="44"/>
  <c r="H109" i="44"/>
  <c r="H76" i="44"/>
  <c r="H75" i="44" s="1"/>
  <c r="H79" i="44"/>
  <c r="H70" i="44"/>
  <c r="L146" i="44"/>
  <c r="K152" i="44"/>
  <c r="K153" i="44" s="1"/>
  <c r="K250" i="44" s="1"/>
  <c r="I100" i="44"/>
  <c r="I47" i="44"/>
  <c r="I45" i="44"/>
  <c r="I72" i="44"/>
  <c r="I77" i="44" s="1"/>
  <c r="I44" i="44"/>
  <c r="I48" i="44"/>
  <c r="P102" i="44"/>
  <c r="Q102" i="44" s="1"/>
  <c r="H121" i="44"/>
  <c r="P116" i="44"/>
  <c r="Q116" i="44" s="1"/>
  <c r="I234" i="42"/>
  <c r="I255" i="42"/>
  <c r="I258" i="42" s="1"/>
  <c r="J35" i="42"/>
  <c r="J29" i="42"/>
  <c r="K27" i="42"/>
  <c r="H114" i="42"/>
  <c r="M182" i="42"/>
  <c r="M187" i="42" s="1"/>
  <c r="L187" i="42"/>
  <c r="K180" i="42"/>
  <c r="K189" i="42" s="1"/>
  <c r="L177" i="42"/>
  <c r="K269" i="42"/>
  <c r="L266" i="42"/>
  <c r="I165" i="42"/>
  <c r="I251" i="42" s="1"/>
  <c r="J26" i="42"/>
  <c r="K24" i="42"/>
  <c r="K129" i="42"/>
  <c r="L124" i="42"/>
  <c r="K217" i="42"/>
  <c r="K256" i="42" s="1"/>
  <c r="L206" i="42"/>
  <c r="H52" i="42"/>
  <c r="H49" i="42"/>
  <c r="P116" i="42"/>
  <c r="Q116" i="42" s="1"/>
  <c r="H121" i="42"/>
  <c r="J136" i="42"/>
  <c r="K131" i="42"/>
  <c r="J46" i="42"/>
  <c r="K36" i="42"/>
  <c r="K190" i="42"/>
  <c r="K254" i="42" s="1"/>
  <c r="L57" i="42"/>
  <c r="M55" i="42"/>
  <c r="M57" i="42" s="1"/>
  <c r="J190" i="42"/>
  <c r="J254" i="42" s="1"/>
  <c r="I95" i="42"/>
  <c r="I105" i="42"/>
  <c r="I102" i="42"/>
  <c r="I97" i="42"/>
  <c r="I116" i="42"/>
  <c r="I121" i="42" s="1"/>
  <c r="I104" i="42"/>
  <c r="I96" i="42"/>
  <c r="I108" i="42"/>
  <c r="I32" i="42"/>
  <c r="I112" i="42" s="1"/>
  <c r="J138" i="42"/>
  <c r="L146" i="42"/>
  <c r="K152" i="42"/>
  <c r="J52" i="42"/>
  <c r="J49" i="42"/>
  <c r="J63" i="42"/>
  <c r="K58" i="42"/>
  <c r="J60" i="42"/>
  <c r="J64" i="42" s="1"/>
  <c r="J61" i="42" s="1"/>
  <c r="L25" i="42"/>
  <c r="H46" i="42"/>
  <c r="P102" i="42"/>
  <c r="Q102" i="42" s="1"/>
  <c r="K153" i="42"/>
  <c r="K250" i="42" s="1"/>
  <c r="J200" i="42"/>
  <c r="K195" i="42"/>
  <c r="I99" i="42"/>
  <c r="I98" i="42"/>
  <c r="I71" i="42"/>
  <c r="K47" i="42"/>
  <c r="K45" i="42"/>
  <c r="K100" i="42"/>
  <c r="K44" i="42"/>
  <c r="K72" i="42"/>
  <c r="K77" i="42" s="1"/>
  <c r="K48" i="42"/>
  <c r="I69" i="42"/>
  <c r="I74" i="42" s="1"/>
  <c r="J164" i="42"/>
  <c r="J165" i="42" s="1"/>
  <c r="J251" i="42" s="1"/>
  <c r="K158" i="42"/>
  <c r="J230" i="42"/>
  <c r="J257" i="42" s="1"/>
  <c r="K223" i="42"/>
  <c r="H107" i="41"/>
  <c r="H109" i="41" s="1"/>
  <c r="H69" i="41"/>
  <c r="H74" i="41" s="1"/>
  <c r="J200" i="41"/>
  <c r="K195" i="41"/>
  <c r="K180" i="41"/>
  <c r="K189" i="41" s="1"/>
  <c r="K190" i="41" s="1"/>
  <c r="K254" i="41" s="1"/>
  <c r="L177" i="41"/>
  <c r="J57" i="41"/>
  <c r="K55" i="41"/>
  <c r="I234" i="41"/>
  <c r="I255" i="41"/>
  <c r="J35" i="41"/>
  <c r="J29" i="41"/>
  <c r="K27" i="41"/>
  <c r="K269" i="41"/>
  <c r="L266" i="41"/>
  <c r="K58" i="41"/>
  <c r="J60" i="41"/>
  <c r="J63" i="41"/>
  <c r="M223" i="41"/>
  <c r="I258" i="41"/>
  <c r="K124" i="41"/>
  <c r="J129" i="41"/>
  <c r="J138" i="41" s="1"/>
  <c r="M146" i="41"/>
  <c r="M152" i="41" s="1"/>
  <c r="L152" i="41"/>
  <c r="L153" i="41" s="1"/>
  <c r="L250" i="41" s="1"/>
  <c r="K224" i="41"/>
  <c r="J230" i="41"/>
  <c r="J257" i="41" s="1"/>
  <c r="I100" i="41"/>
  <c r="I72" i="41"/>
  <c r="I77" i="41" s="1"/>
  <c r="I48" i="41"/>
  <c r="I44" i="41"/>
  <c r="I46" i="41" s="1"/>
  <c r="I47" i="41"/>
  <c r="I45" i="41"/>
  <c r="K217" i="41"/>
  <c r="K256" i="41" s="1"/>
  <c r="L206" i="41"/>
  <c r="H258" i="41"/>
  <c r="M182" i="41"/>
  <c r="M187" i="41" s="1"/>
  <c r="L187" i="41"/>
  <c r="K164" i="41"/>
  <c r="K165" i="41" s="1"/>
  <c r="K251" i="41" s="1"/>
  <c r="L158" i="41"/>
  <c r="G76" i="41"/>
  <c r="G75" i="41" s="1"/>
  <c r="G79" i="41"/>
  <c r="G70" i="41"/>
  <c r="H107" i="40"/>
  <c r="H109" i="40" s="1"/>
  <c r="H69" i="40"/>
  <c r="H74" i="40" s="1"/>
  <c r="K129" i="40"/>
  <c r="K138" i="40" s="1"/>
  <c r="L124" i="40"/>
  <c r="J72" i="40"/>
  <c r="J77" i="40" s="1"/>
  <c r="J100" i="40"/>
  <c r="J48" i="40"/>
  <c r="J44" i="40"/>
  <c r="J45" i="40"/>
  <c r="J47" i="40"/>
  <c r="L153" i="40"/>
  <c r="L250" i="40" s="1"/>
  <c r="K200" i="40"/>
  <c r="L195" i="40"/>
  <c r="K35" i="40"/>
  <c r="K29" i="40"/>
  <c r="L27" i="40"/>
  <c r="L182" i="40"/>
  <c r="K187" i="40"/>
  <c r="J60" i="40"/>
  <c r="J64" i="40" s="1"/>
  <c r="J61" i="40" s="1"/>
  <c r="K58" i="40"/>
  <c r="J63" i="40"/>
  <c r="I79" i="40"/>
  <c r="I76" i="40"/>
  <c r="I75" i="40" s="1"/>
  <c r="I70" i="40"/>
  <c r="J255" i="40"/>
  <c r="J234" i="40"/>
  <c r="I165" i="40"/>
  <c r="I251" i="40" s="1"/>
  <c r="M266" i="40"/>
  <c r="M269" i="40" s="1"/>
  <c r="L269" i="40"/>
  <c r="P102" i="40"/>
  <c r="Q102" i="40" s="1"/>
  <c r="P116" i="40"/>
  <c r="Q116" i="40" s="1"/>
  <c r="H121" i="40"/>
  <c r="M131" i="40"/>
  <c r="M136" i="40" s="1"/>
  <c r="L136" i="40"/>
  <c r="I105" i="40"/>
  <c r="I102" i="40"/>
  <c r="I97" i="40"/>
  <c r="I95" i="40"/>
  <c r="I114" i="40"/>
  <c r="I108" i="40"/>
  <c r="I96" i="40"/>
  <c r="I116" i="40"/>
  <c r="I121" i="40" s="1"/>
  <c r="I104" i="40"/>
  <c r="I32" i="40"/>
  <c r="I112" i="40" s="1"/>
  <c r="I31" i="40"/>
  <c r="I30" i="40" s="1"/>
  <c r="K36" i="40"/>
  <c r="L230" i="40"/>
  <c r="L257" i="40" s="1"/>
  <c r="M223" i="40"/>
  <c r="M230" i="40" s="1"/>
  <c r="M257" i="40" s="1"/>
  <c r="M206" i="40"/>
  <c r="M217" i="40" s="1"/>
  <c r="M256" i="40" s="1"/>
  <c r="L217" i="40"/>
  <c r="L256" i="40" s="1"/>
  <c r="J180" i="40"/>
  <c r="J189" i="40" s="1"/>
  <c r="J190" i="40" s="1"/>
  <c r="J254" i="40" s="1"/>
  <c r="J258" i="40" s="1"/>
  <c r="K177" i="40"/>
  <c r="H114" i="40"/>
  <c r="K158" i="40"/>
  <c r="J164" i="40"/>
  <c r="K57" i="40"/>
  <c r="L55" i="40"/>
  <c r="L25" i="40"/>
  <c r="J26" i="40"/>
  <c r="K24" i="40"/>
  <c r="H76" i="40"/>
  <c r="H75" i="40" s="1"/>
  <c r="H70" i="40"/>
  <c r="H79" i="40"/>
  <c r="K164" i="39"/>
  <c r="L158" i="39"/>
  <c r="K36" i="39"/>
  <c r="P102" i="39"/>
  <c r="Q102" i="39" s="1"/>
  <c r="H76" i="39"/>
  <c r="H75" i="39" s="1"/>
  <c r="H79" i="39"/>
  <c r="H70" i="39"/>
  <c r="J230" i="39"/>
  <c r="J257" i="39" s="1"/>
  <c r="K223" i="39"/>
  <c r="K25" i="39"/>
  <c r="K26" i="39" s="1"/>
  <c r="K57" i="39"/>
  <c r="L55" i="39"/>
  <c r="L24" i="39"/>
  <c r="M182" i="39"/>
  <c r="M187" i="39" s="1"/>
  <c r="L187" i="39"/>
  <c r="H107" i="39"/>
  <c r="H69" i="39"/>
  <c r="H74" i="39" s="1"/>
  <c r="K269" i="39"/>
  <c r="L266" i="39"/>
  <c r="J200" i="39"/>
  <c r="K195" i="39"/>
  <c r="J63" i="39"/>
  <c r="J60" i="39"/>
  <c r="J64" i="39" s="1"/>
  <c r="J61" i="39" s="1"/>
  <c r="K58" i="39"/>
  <c r="I189" i="39"/>
  <c r="J72" i="39"/>
  <c r="J77" i="39" s="1"/>
  <c r="J48" i="39"/>
  <c r="J44" i="39"/>
  <c r="J46" i="39" s="1"/>
  <c r="J100" i="39"/>
  <c r="J47" i="39"/>
  <c r="J45" i="39"/>
  <c r="K165" i="39"/>
  <c r="K251" i="39" s="1"/>
  <c r="J116" i="39"/>
  <c r="J121" i="39" s="1"/>
  <c r="J95" i="39"/>
  <c r="J108" i="39"/>
  <c r="J105" i="39"/>
  <c r="J102" i="39"/>
  <c r="J96" i="39"/>
  <c r="J32" i="39"/>
  <c r="J112" i="39" s="1"/>
  <c r="J104" i="39"/>
  <c r="J97" i="39"/>
  <c r="K124" i="39"/>
  <c r="J129" i="39"/>
  <c r="J138" i="39" s="1"/>
  <c r="K136" i="39"/>
  <c r="L131" i="39"/>
  <c r="H121" i="39"/>
  <c r="P116" i="39"/>
  <c r="Q116" i="39" s="1"/>
  <c r="H109" i="39"/>
  <c r="P109" i="39" s="1"/>
  <c r="Q109" i="39" s="1"/>
  <c r="H114" i="39"/>
  <c r="J152" i="39"/>
  <c r="K146" i="39"/>
  <c r="I234" i="39"/>
  <c r="I255" i="39"/>
  <c r="J180" i="39"/>
  <c r="J189" i="39" s="1"/>
  <c r="K177" i="39"/>
  <c r="K217" i="39"/>
  <c r="K256" i="39" s="1"/>
  <c r="L206" i="39"/>
  <c r="I104" i="39"/>
  <c r="I97" i="39"/>
  <c r="I116" i="39"/>
  <c r="I121" i="39" s="1"/>
  <c r="I95" i="39"/>
  <c r="I108" i="39"/>
  <c r="I105" i="39"/>
  <c r="I96" i="39"/>
  <c r="I102" i="39"/>
  <c r="I32" i="39"/>
  <c r="I112" i="39" s="1"/>
  <c r="I98" i="39"/>
  <c r="I71" i="39"/>
  <c r="I99" i="39"/>
  <c r="I52" i="39"/>
  <c r="I49" i="39"/>
  <c r="I53" i="39" s="1"/>
  <c r="I50" i="39" s="1"/>
  <c r="I31" i="39" s="1"/>
  <c r="I30" i="39" s="1"/>
  <c r="I190" i="38"/>
  <c r="I254" i="38" s="1"/>
  <c r="K57" i="38"/>
  <c r="K64" i="38" s="1"/>
  <c r="K61" i="38" s="1"/>
  <c r="L55" i="38"/>
  <c r="J200" i="38"/>
  <c r="K195" i="38"/>
  <c r="L36" i="38"/>
  <c r="J187" i="38"/>
  <c r="J189" i="38" s="1"/>
  <c r="K182" i="38"/>
  <c r="I234" i="38"/>
  <c r="I255" i="38"/>
  <c r="L63" i="38"/>
  <c r="L60" i="38"/>
  <c r="M58" i="38"/>
  <c r="M131" i="38"/>
  <c r="M136" i="38" s="1"/>
  <c r="L136" i="38"/>
  <c r="G70" i="38"/>
  <c r="G79" i="38"/>
  <c r="G76" i="38"/>
  <c r="G75" i="38" s="1"/>
  <c r="H76" i="38"/>
  <c r="H75" i="38" s="1"/>
  <c r="H79" i="38"/>
  <c r="H70" i="38"/>
  <c r="J129" i="38"/>
  <c r="J138" i="38" s="1"/>
  <c r="K124" i="38"/>
  <c r="I46" i="38"/>
  <c r="K269" i="38"/>
  <c r="L266" i="38"/>
  <c r="K28" i="38"/>
  <c r="J29" i="38"/>
  <c r="J35" i="38"/>
  <c r="J116" i="38"/>
  <c r="J121" i="38" s="1"/>
  <c r="J108" i="38"/>
  <c r="J104" i="38"/>
  <c r="J105" i="38"/>
  <c r="J102" i="38"/>
  <c r="J97" i="38"/>
  <c r="J95" i="38"/>
  <c r="J32" i="38"/>
  <c r="J112" i="38" s="1"/>
  <c r="J96" i="38"/>
  <c r="K217" i="38"/>
  <c r="K256" i="38" s="1"/>
  <c r="L206" i="38"/>
  <c r="H107" i="38"/>
  <c r="H109" i="38" s="1"/>
  <c r="H69" i="38"/>
  <c r="H74" i="38" s="1"/>
  <c r="G140" i="38"/>
  <c r="J72" i="38"/>
  <c r="J77" i="38" s="1"/>
  <c r="J100" i="38"/>
  <c r="J45" i="38"/>
  <c r="J44" i="38"/>
  <c r="J47" i="38"/>
  <c r="J48" i="38"/>
  <c r="K26" i="38"/>
  <c r="L24" i="38"/>
  <c r="L164" i="38"/>
  <c r="M158" i="38"/>
  <c r="M164" i="38" s="1"/>
  <c r="J230" i="38"/>
  <c r="J257" i="38" s="1"/>
  <c r="K223" i="38"/>
  <c r="M27" i="38"/>
  <c r="I49" i="38"/>
  <c r="I52" i="38"/>
  <c r="J153" i="38"/>
  <c r="J250" i="38" s="1"/>
  <c r="L146" i="38"/>
  <c r="K152" i="38"/>
  <c r="K153" i="38" s="1"/>
  <c r="K250" i="38" s="1"/>
  <c r="K180" i="38"/>
  <c r="L177" i="38"/>
  <c r="P102" i="37"/>
  <c r="Q102" i="37" s="1"/>
  <c r="L182" i="37"/>
  <c r="K187" i="37"/>
  <c r="K217" i="37"/>
  <c r="K256" i="37" s="1"/>
  <c r="L206" i="37"/>
  <c r="K36" i="37"/>
  <c r="J230" i="37"/>
  <c r="J257" i="37" s="1"/>
  <c r="K223" i="37"/>
  <c r="H121" i="37"/>
  <c r="P116" i="37"/>
  <c r="Q116" i="37" s="1"/>
  <c r="K124" i="37"/>
  <c r="J129" i="37"/>
  <c r="J138" i="37" s="1"/>
  <c r="I46" i="37"/>
  <c r="L60" i="37"/>
  <c r="L63" i="37"/>
  <c r="M58" i="37"/>
  <c r="H52" i="37"/>
  <c r="H49" i="37"/>
  <c r="G70" i="37"/>
  <c r="G76" i="37"/>
  <c r="G75" i="37" s="1"/>
  <c r="G79" i="37"/>
  <c r="I165" i="37"/>
  <c r="I251" i="37" s="1"/>
  <c r="K57" i="37"/>
  <c r="L55" i="37"/>
  <c r="I116" i="37"/>
  <c r="I121" i="37" s="1"/>
  <c r="I108" i="37"/>
  <c r="I104" i="37"/>
  <c r="I96" i="37"/>
  <c r="I105" i="37"/>
  <c r="I102" i="37"/>
  <c r="I32" i="37"/>
  <c r="I112" i="37" s="1"/>
  <c r="I95" i="37"/>
  <c r="I97" i="37"/>
  <c r="L25" i="37"/>
  <c r="J26" i="37"/>
  <c r="K24" i="37"/>
  <c r="K180" i="37"/>
  <c r="L177" i="37"/>
  <c r="J200" i="37"/>
  <c r="K195" i="37"/>
  <c r="K64" i="37"/>
  <c r="K61" i="37" s="1"/>
  <c r="H46" i="37"/>
  <c r="J29" i="37"/>
  <c r="K27" i="37"/>
  <c r="J35" i="37"/>
  <c r="J164" i="37"/>
  <c r="K158" i="37"/>
  <c r="J100" i="37"/>
  <c r="J47" i="37"/>
  <c r="J72" i="37"/>
  <c r="J77" i="37" s="1"/>
  <c r="J48" i="37"/>
  <c r="J44" i="37"/>
  <c r="J45" i="37"/>
  <c r="J152" i="37"/>
  <c r="J153" i="37" s="1"/>
  <c r="J250" i="37" s="1"/>
  <c r="K146" i="37"/>
  <c r="I234" i="37"/>
  <c r="I255" i="37"/>
  <c r="I258" i="37" s="1"/>
  <c r="J190" i="37"/>
  <c r="J254" i="37" s="1"/>
  <c r="I49" i="37"/>
  <c r="I52" i="37"/>
  <c r="K136" i="37"/>
  <c r="L131" i="37"/>
  <c r="K269" i="37"/>
  <c r="L266" i="37"/>
  <c r="J100" i="36"/>
  <c r="J47" i="36"/>
  <c r="J72" i="36"/>
  <c r="J77" i="36" s="1"/>
  <c r="J48" i="36"/>
  <c r="J45" i="36"/>
  <c r="J44" i="36"/>
  <c r="J29" i="36"/>
  <c r="K27" i="36"/>
  <c r="J35" i="36"/>
  <c r="L36" i="36"/>
  <c r="G107" i="36"/>
  <c r="G109" i="36" s="1"/>
  <c r="G140" i="36" s="1"/>
  <c r="G69" i="36"/>
  <c r="G74" i="36" s="1"/>
  <c r="J64" i="36"/>
  <c r="J61" i="36" s="1"/>
  <c r="I255" i="36"/>
  <c r="I258" i="36" s="1"/>
  <c r="I234" i="36"/>
  <c r="K269" i="36"/>
  <c r="L266" i="36"/>
  <c r="H107" i="36"/>
  <c r="H109" i="36" s="1"/>
  <c r="H69" i="36"/>
  <c r="H74" i="36" s="1"/>
  <c r="J108" i="36"/>
  <c r="J104" i="36"/>
  <c r="J96" i="36"/>
  <c r="J105" i="36"/>
  <c r="J102" i="36"/>
  <c r="J97" i="36"/>
  <c r="J116" i="36"/>
  <c r="J121" i="36" s="1"/>
  <c r="J32" i="36"/>
  <c r="J112" i="36" s="1"/>
  <c r="J95" i="36"/>
  <c r="L63" i="36"/>
  <c r="L60" i="36"/>
  <c r="M58" i="36"/>
  <c r="J153" i="36"/>
  <c r="J250" i="36" s="1"/>
  <c r="K189" i="36"/>
  <c r="K190" i="36" s="1"/>
  <c r="K254" i="36" s="1"/>
  <c r="M25" i="36"/>
  <c r="K217" i="36"/>
  <c r="K256" i="36" s="1"/>
  <c r="L206" i="36"/>
  <c r="H76" i="36"/>
  <c r="H75" i="36" s="1"/>
  <c r="H79" i="36"/>
  <c r="H70" i="36"/>
  <c r="G79" i="36"/>
  <c r="G70" i="36"/>
  <c r="G76" i="36"/>
  <c r="G75" i="36" s="1"/>
  <c r="I46" i="36"/>
  <c r="K57" i="36"/>
  <c r="K64" i="36" s="1"/>
  <c r="K61" i="36" s="1"/>
  <c r="L55" i="36"/>
  <c r="L24" i="36"/>
  <c r="K26" i="36"/>
  <c r="L124" i="36"/>
  <c r="K129" i="36"/>
  <c r="K138" i="36" s="1"/>
  <c r="K230" i="36"/>
  <c r="K257" i="36" s="1"/>
  <c r="L223" i="36"/>
  <c r="J200" i="36"/>
  <c r="K195" i="36"/>
  <c r="K146" i="36"/>
  <c r="J152" i="36"/>
  <c r="M177" i="36"/>
  <c r="M180" i="36" s="1"/>
  <c r="L180" i="36"/>
  <c r="K164" i="36"/>
  <c r="L158" i="36"/>
  <c r="L136" i="36"/>
  <c r="M131" i="36"/>
  <c r="M136" i="36" s="1"/>
  <c r="I52" i="36"/>
  <c r="I49" i="36"/>
  <c r="I114" i="36"/>
  <c r="L182" i="36"/>
  <c r="K187" i="36"/>
  <c r="I14" i="60"/>
  <c r="J13" i="60"/>
  <c r="H140" i="44" l="1"/>
  <c r="Q121" i="71"/>
  <c r="I53" i="38"/>
  <c r="I50" i="38" s="1"/>
  <c r="I31" i="38" s="1"/>
  <c r="I30" i="38" s="1"/>
  <c r="I114" i="39"/>
  <c r="I114" i="49"/>
  <c r="M165" i="69"/>
  <c r="M251" i="69" s="1"/>
  <c r="K190" i="69"/>
  <c r="K254" i="69" s="1"/>
  <c r="I99" i="76"/>
  <c r="I53" i="76"/>
  <c r="I50" i="76" s="1"/>
  <c r="I31" i="76" s="1"/>
  <c r="I30" i="76" s="1"/>
  <c r="K57" i="47"/>
  <c r="L55" i="47"/>
  <c r="J114" i="41"/>
  <c r="J46" i="45"/>
  <c r="K63" i="71"/>
  <c r="L58" i="71"/>
  <c r="K60" i="71"/>
  <c r="K64" i="71" s="1"/>
  <c r="K61" i="71" s="1"/>
  <c r="G70" i="46"/>
  <c r="G76" i="46"/>
  <c r="G75" i="46" s="1"/>
  <c r="G79" i="46"/>
  <c r="K47" i="45"/>
  <c r="K48" i="45"/>
  <c r="K100" i="45"/>
  <c r="K44" i="45"/>
  <c r="K46" i="45" s="1"/>
  <c r="K72" i="45"/>
  <c r="K77" i="45" s="1"/>
  <c r="K45" i="45"/>
  <c r="I49" i="48"/>
  <c r="I53" i="48" s="1"/>
  <c r="I50" i="48" s="1"/>
  <c r="I31" i="48" s="1"/>
  <c r="I30" i="48" s="1"/>
  <c r="L36" i="47"/>
  <c r="L36" i="41"/>
  <c r="I53" i="37"/>
  <c r="I50" i="37" s="1"/>
  <c r="I31" i="37" s="1"/>
  <c r="I30" i="37" s="1"/>
  <c r="Q121" i="39"/>
  <c r="J64" i="41"/>
  <c r="J61" i="41" s="1"/>
  <c r="K46" i="42"/>
  <c r="K189" i="50"/>
  <c r="J46" i="63"/>
  <c r="I53" i="72"/>
  <c r="I50" i="72" s="1"/>
  <c r="I31" i="72" s="1"/>
  <c r="I30" i="72" s="1"/>
  <c r="J44" i="47"/>
  <c r="J48" i="47"/>
  <c r="J72" i="47"/>
  <c r="J77" i="47" s="1"/>
  <c r="J47" i="47"/>
  <c r="J100" i="47"/>
  <c r="J45" i="47"/>
  <c r="J100" i="48"/>
  <c r="J45" i="48"/>
  <c r="J72" i="48"/>
  <c r="J77" i="48" s="1"/>
  <c r="J44" i="48"/>
  <c r="J46" i="48" s="1"/>
  <c r="J48" i="48"/>
  <c r="J47" i="48"/>
  <c r="L26" i="41"/>
  <c r="M24" i="41"/>
  <c r="I52" i="47"/>
  <c r="G70" i="73"/>
  <c r="G79" i="73"/>
  <c r="G76" i="73"/>
  <c r="G75" i="73" s="1"/>
  <c r="J64" i="46"/>
  <c r="J61" i="46" s="1"/>
  <c r="I114" i="69"/>
  <c r="I114" i="71"/>
  <c r="K57" i="48"/>
  <c r="L55" i="48"/>
  <c r="K114" i="41"/>
  <c r="K105" i="41"/>
  <c r="K32" i="41"/>
  <c r="K112" i="41" s="1"/>
  <c r="K108" i="41"/>
  <c r="K102" i="41"/>
  <c r="K95" i="41"/>
  <c r="K104" i="41"/>
  <c r="K97" i="41"/>
  <c r="K116" i="41"/>
  <c r="K121" i="41" s="1"/>
  <c r="K96" i="41"/>
  <c r="H79" i="41"/>
  <c r="H70" i="41"/>
  <c r="H76" i="41"/>
  <c r="H75" i="41" s="1"/>
  <c r="I71" i="47"/>
  <c r="I98" i="47"/>
  <c r="I99" i="47"/>
  <c r="L29" i="74"/>
  <c r="L35" i="74"/>
  <c r="M27" i="74"/>
  <c r="J53" i="45"/>
  <c r="J50" i="45" s="1"/>
  <c r="J52" i="45"/>
  <c r="L29" i="45"/>
  <c r="M27" i="45"/>
  <c r="L35" i="45"/>
  <c r="L57" i="45"/>
  <c r="M55" i="45"/>
  <c r="M57" i="45" s="1"/>
  <c r="L27" i="39"/>
  <c r="K35" i="39"/>
  <c r="K29" i="39"/>
  <c r="G69" i="46"/>
  <c r="G74" i="46" s="1"/>
  <c r="G107" i="46"/>
  <c r="G109" i="46" s="1"/>
  <c r="G140" i="46" s="1"/>
  <c r="J46" i="76"/>
  <c r="J98" i="76" s="1"/>
  <c r="G140" i="76"/>
  <c r="H74" i="76"/>
  <c r="H114" i="76"/>
  <c r="H102" i="76"/>
  <c r="P102" i="76" s="1"/>
  <c r="Q102" i="76" s="1"/>
  <c r="I69" i="76"/>
  <c r="P109" i="76"/>
  <c r="Q109" i="76" s="1"/>
  <c r="M266" i="76"/>
  <c r="M269" i="76" s="1"/>
  <c r="L269" i="76"/>
  <c r="J52" i="76"/>
  <c r="J49" i="76"/>
  <c r="J53" i="76" s="1"/>
  <c r="J50" i="76" s="1"/>
  <c r="J31" i="76" s="1"/>
  <c r="J30" i="76" s="1"/>
  <c r="I76" i="76"/>
  <c r="I75" i="76" s="1"/>
  <c r="I79" i="76"/>
  <c r="I95" i="76" s="1"/>
  <c r="I70" i="76"/>
  <c r="L58" i="76"/>
  <c r="K63" i="76"/>
  <c r="K60" i="76"/>
  <c r="K64" i="76" s="1"/>
  <c r="K61" i="76" s="1"/>
  <c r="K189" i="76"/>
  <c r="K190" i="76" s="1"/>
  <c r="K254" i="76" s="1"/>
  <c r="J190" i="76"/>
  <c r="J254" i="76" s="1"/>
  <c r="M182" i="76"/>
  <c r="M187" i="76" s="1"/>
  <c r="L187" i="76"/>
  <c r="L25" i="76"/>
  <c r="L29" i="76"/>
  <c r="M27" i="76"/>
  <c r="L35" i="76"/>
  <c r="M146" i="76"/>
  <c r="M152" i="76" s="1"/>
  <c r="L152" i="76"/>
  <c r="L153" i="76" s="1"/>
  <c r="L250" i="76" s="1"/>
  <c r="L57" i="76"/>
  <c r="M55" i="76"/>
  <c r="M57" i="76" s="1"/>
  <c r="K230" i="76"/>
  <c r="K257" i="76" s="1"/>
  <c r="L223" i="76"/>
  <c r="K26" i="76"/>
  <c r="L24" i="76"/>
  <c r="K200" i="76"/>
  <c r="L195" i="76"/>
  <c r="J99" i="76"/>
  <c r="J71" i="76"/>
  <c r="M177" i="76"/>
  <c r="M180" i="76" s="1"/>
  <c r="L180" i="76"/>
  <c r="K164" i="76"/>
  <c r="K165" i="76" s="1"/>
  <c r="K251" i="76" s="1"/>
  <c r="L158" i="76"/>
  <c r="M206" i="76"/>
  <c r="M217" i="76" s="1"/>
  <c r="M256" i="76" s="1"/>
  <c r="L217" i="76"/>
  <c r="L256" i="76" s="1"/>
  <c r="K100" i="76"/>
  <c r="K72" i="76"/>
  <c r="K77" i="76" s="1"/>
  <c r="K45" i="76"/>
  <c r="K47" i="76"/>
  <c r="K44" i="76"/>
  <c r="K48" i="76"/>
  <c r="J105" i="76"/>
  <c r="J97" i="76"/>
  <c r="J108" i="76"/>
  <c r="J96" i="76"/>
  <c r="J116" i="76"/>
  <c r="J121" i="76" s="1"/>
  <c r="J104" i="76"/>
  <c r="J32" i="76"/>
  <c r="J112" i="76" s="1"/>
  <c r="K129" i="76"/>
  <c r="K138" i="76" s="1"/>
  <c r="L124" i="76"/>
  <c r="J255" i="76"/>
  <c r="J234" i="76"/>
  <c r="P109" i="75"/>
  <c r="Q109" i="75" s="1"/>
  <c r="Q121" i="75" s="1"/>
  <c r="H140" i="75"/>
  <c r="K230" i="75"/>
  <c r="K257" i="75" s="1"/>
  <c r="L223" i="75"/>
  <c r="M36" i="75"/>
  <c r="L136" i="75"/>
  <c r="M131" i="75"/>
  <c r="M136" i="75" s="1"/>
  <c r="L124" i="75"/>
  <c r="K129" i="75"/>
  <c r="K138" i="75" s="1"/>
  <c r="M266" i="75"/>
  <c r="M269" i="75" s="1"/>
  <c r="L269" i="75"/>
  <c r="K26" i="75"/>
  <c r="L24" i="75"/>
  <c r="M177" i="75"/>
  <c r="M180" i="75" s="1"/>
  <c r="M189" i="75" s="1"/>
  <c r="L180" i="75"/>
  <c r="L189" i="75" s="1"/>
  <c r="M190" i="75" s="1"/>
  <c r="M254" i="75" s="1"/>
  <c r="K200" i="75"/>
  <c r="L195" i="75"/>
  <c r="L57" i="75"/>
  <c r="M55" i="75"/>
  <c r="M57" i="75" s="1"/>
  <c r="I69" i="75"/>
  <c r="I74" i="75" s="1"/>
  <c r="L25" i="75"/>
  <c r="K152" i="75"/>
  <c r="K153" i="75" s="1"/>
  <c r="K250" i="75" s="1"/>
  <c r="L146" i="75"/>
  <c r="K60" i="75"/>
  <c r="K64" i="75" s="1"/>
  <c r="K61" i="75" s="1"/>
  <c r="L58" i="75"/>
  <c r="K63" i="75"/>
  <c r="J105" i="75"/>
  <c r="J102" i="75"/>
  <c r="J95" i="75"/>
  <c r="J97" i="75"/>
  <c r="J108" i="75"/>
  <c r="J96" i="75"/>
  <c r="J116" i="75"/>
  <c r="J121" i="75" s="1"/>
  <c r="J32" i="75"/>
  <c r="J112" i="75" s="1"/>
  <c r="J104" i="75"/>
  <c r="J255" i="75"/>
  <c r="J258" i="75" s="1"/>
  <c r="J234" i="75"/>
  <c r="K100" i="75"/>
  <c r="K45" i="75"/>
  <c r="K72" i="75"/>
  <c r="K77" i="75" s="1"/>
  <c r="K47" i="75"/>
  <c r="K44" i="75"/>
  <c r="K48" i="75"/>
  <c r="J52" i="75"/>
  <c r="J49" i="75"/>
  <c r="J46" i="75"/>
  <c r="L217" i="75"/>
  <c r="L256" i="75" s="1"/>
  <c r="M206" i="75"/>
  <c r="M217" i="75" s="1"/>
  <c r="M256" i="75" s="1"/>
  <c r="K165" i="75"/>
  <c r="K251" i="75" s="1"/>
  <c r="L164" i="75"/>
  <c r="M158" i="75"/>
  <c r="M164" i="75" s="1"/>
  <c r="L29" i="75"/>
  <c r="M27" i="75"/>
  <c r="L35" i="75"/>
  <c r="I114" i="75"/>
  <c r="K190" i="75"/>
  <c r="K254" i="75" s="1"/>
  <c r="K52" i="74"/>
  <c r="K49" i="74"/>
  <c r="M45" i="74"/>
  <c r="M72" i="74"/>
  <c r="M77" i="74" s="1"/>
  <c r="M44" i="74"/>
  <c r="M100" i="74"/>
  <c r="M48" i="74"/>
  <c r="M47" i="74"/>
  <c r="J255" i="74"/>
  <c r="J258" i="74" s="1"/>
  <c r="J234" i="74"/>
  <c r="K60" i="74"/>
  <c r="K64" i="74" s="1"/>
  <c r="K61" i="74" s="1"/>
  <c r="K63" i="74"/>
  <c r="L58" i="74"/>
  <c r="M36" i="74"/>
  <c r="P109" i="74"/>
  <c r="Q109" i="74" s="1"/>
  <c r="Q121" i="74" s="1"/>
  <c r="H140" i="74"/>
  <c r="K190" i="74"/>
  <c r="K254" i="74" s="1"/>
  <c r="M266" i="74"/>
  <c r="M269" i="74" s="1"/>
  <c r="L269" i="74"/>
  <c r="J95" i="74"/>
  <c r="J108" i="74"/>
  <c r="J104" i="74"/>
  <c r="J96" i="74"/>
  <c r="J32" i="74"/>
  <c r="J112" i="74" s="1"/>
  <c r="J97" i="74"/>
  <c r="J116" i="74"/>
  <c r="J121" i="74" s="1"/>
  <c r="J105" i="74"/>
  <c r="J102" i="74"/>
  <c r="J31" i="74"/>
  <c r="J30" i="74" s="1"/>
  <c r="H79" i="74"/>
  <c r="H70" i="74"/>
  <c r="H76" i="74"/>
  <c r="H75" i="74" s="1"/>
  <c r="I76" i="74"/>
  <c r="I75" i="74" s="1"/>
  <c r="I79" i="74"/>
  <c r="I70" i="74"/>
  <c r="M223" i="74"/>
  <c r="M230" i="74" s="1"/>
  <c r="M257" i="74" s="1"/>
  <c r="L230" i="74"/>
  <c r="L257" i="74" s="1"/>
  <c r="L25" i="74"/>
  <c r="K26" i="74"/>
  <c r="I69" i="74"/>
  <c r="I74" i="74" s="1"/>
  <c r="L217" i="74"/>
  <c r="L256" i="74" s="1"/>
  <c r="M206" i="74"/>
  <c r="M217" i="74" s="1"/>
  <c r="M256" i="74" s="1"/>
  <c r="K46" i="74"/>
  <c r="L164" i="74"/>
  <c r="M158" i="74"/>
  <c r="M164" i="74" s="1"/>
  <c r="L72" i="74"/>
  <c r="L77" i="74" s="1"/>
  <c r="L48" i="74"/>
  <c r="L44" i="74"/>
  <c r="L46" i="74" s="1"/>
  <c r="L100" i="74"/>
  <c r="L45" i="74"/>
  <c r="L47" i="74"/>
  <c r="L195" i="74"/>
  <c r="K200" i="74"/>
  <c r="L187" i="74"/>
  <c r="L189" i="74" s="1"/>
  <c r="M182" i="74"/>
  <c r="M187" i="74" s="1"/>
  <c r="M189" i="74" s="1"/>
  <c r="M182" i="73"/>
  <c r="M187" i="73" s="1"/>
  <c r="L187" i="73"/>
  <c r="M177" i="73"/>
  <c r="M180" i="73" s="1"/>
  <c r="L180" i="73"/>
  <c r="K100" i="73"/>
  <c r="K47" i="73"/>
  <c r="K44" i="73"/>
  <c r="K48" i="73"/>
  <c r="K45" i="73"/>
  <c r="K72" i="73"/>
  <c r="K77" i="73" s="1"/>
  <c r="M206" i="73"/>
  <c r="M217" i="73" s="1"/>
  <c r="M256" i="73" s="1"/>
  <c r="L217" i="73"/>
  <c r="L256" i="73" s="1"/>
  <c r="I98" i="73"/>
  <c r="I99" i="73"/>
  <c r="I71" i="73"/>
  <c r="K189" i="73"/>
  <c r="L26" i="73"/>
  <c r="M24" i="73"/>
  <c r="I53" i="73"/>
  <c r="I50" i="73" s="1"/>
  <c r="I31" i="73" s="1"/>
  <c r="I30" i="73" s="1"/>
  <c r="K230" i="73"/>
  <c r="K257" i="73" s="1"/>
  <c r="L223" i="73"/>
  <c r="K200" i="73"/>
  <c r="L195" i="73"/>
  <c r="J114" i="73"/>
  <c r="K95" i="73"/>
  <c r="K116" i="73"/>
  <c r="K121" i="73" s="1"/>
  <c r="K114" i="73"/>
  <c r="K108" i="73"/>
  <c r="K104" i="73"/>
  <c r="K96" i="73"/>
  <c r="K105" i="73"/>
  <c r="K102" i="73"/>
  <c r="K97" i="73"/>
  <c r="K32" i="73"/>
  <c r="K112" i="73" s="1"/>
  <c r="L129" i="73"/>
  <c r="M124" i="73"/>
  <c r="M129" i="73" s="1"/>
  <c r="L36" i="73"/>
  <c r="M25" i="73"/>
  <c r="K164" i="73"/>
  <c r="L158" i="73"/>
  <c r="J255" i="73"/>
  <c r="J258" i="73" s="1"/>
  <c r="J234" i="73"/>
  <c r="J52" i="73"/>
  <c r="J49" i="73"/>
  <c r="J53" i="73" s="1"/>
  <c r="J50" i="73" s="1"/>
  <c r="J31" i="73" s="1"/>
  <c r="J30" i="73" s="1"/>
  <c r="P109" i="73"/>
  <c r="Q109" i="73" s="1"/>
  <c r="Q121" i="73" s="1"/>
  <c r="H140" i="73"/>
  <c r="M55" i="73"/>
  <c r="M57" i="73" s="1"/>
  <c r="L57" i="73"/>
  <c r="M266" i="73"/>
  <c r="M269" i="73" s="1"/>
  <c r="L269" i="73"/>
  <c r="L58" i="73"/>
  <c r="K60" i="73"/>
  <c r="K64" i="73" s="1"/>
  <c r="K61" i="73" s="1"/>
  <c r="K63" i="73"/>
  <c r="L35" i="73"/>
  <c r="L29" i="73"/>
  <c r="M27" i="73"/>
  <c r="K136" i="73"/>
  <c r="K138" i="73" s="1"/>
  <c r="L131" i="73"/>
  <c r="K165" i="73"/>
  <c r="K251" i="73" s="1"/>
  <c r="J98" i="73"/>
  <c r="J71" i="73"/>
  <c r="J99" i="73"/>
  <c r="I69" i="72"/>
  <c r="I74" i="72" s="1"/>
  <c r="M195" i="72"/>
  <c r="M200" i="72" s="1"/>
  <c r="L200" i="72"/>
  <c r="L57" i="72"/>
  <c r="M55" i="72"/>
  <c r="M57" i="72" s="1"/>
  <c r="I114" i="72"/>
  <c r="L165" i="72"/>
  <c r="L251" i="72" s="1"/>
  <c r="J234" i="72"/>
  <c r="Q121" i="72"/>
  <c r="K26" i="72"/>
  <c r="L24" i="72"/>
  <c r="L129" i="72"/>
  <c r="M124" i="72"/>
  <c r="M129" i="72" s="1"/>
  <c r="K255" i="72"/>
  <c r="J116" i="72"/>
  <c r="J121" i="72" s="1"/>
  <c r="J95" i="72"/>
  <c r="J108" i="72"/>
  <c r="J104" i="72"/>
  <c r="J96" i="72"/>
  <c r="J105" i="72"/>
  <c r="J102" i="72"/>
  <c r="J32" i="72"/>
  <c r="J112" i="72" s="1"/>
  <c r="J97" i="72"/>
  <c r="J46" i="72"/>
  <c r="K60" i="72"/>
  <c r="K64" i="72" s="1"/>
  <c r="K61" i="72" s="1"/>
  <c r="K63" i="72"/>
  <c r="L58" i="72"/>
  <c r="L36" i="72"/>
  <c r="K100" i="72"/>
  <c r="K47" i="72"/>
  <c r="K48" i="72"/>
  <c r="K44" i="72"/>
  <c r="K72" i="72"/>
  <c r="K77" i="72" s="1"/>
  <c r="K45" i="72"/>
  <c r="K230" i="72"/>
  <c r="K257" i="72" s="1"/>
  <c r="L223" i="72"/>
  <c r="L29" i="72"/>
  <c r="M27" i="72"/>
  <c r="L35" i="72"/>
  <c r="H79" i="72"/>
  <c r="H70" i="72"/>
  <c r="H76" i="72"/>
  <c r="H75" i="72" s="1"/>
  <c r="I98" i="72"/>
  <c r="I71" i="72"/>
  <c r="I99" i="72"/>
  <c r="J52" i="72"/>
  <c r="J49" i="72"/>
  <c r="M182" i="72"/>
  <c r="M187" i="72" s="1"/>
  <c r="M189" i="72" s="1"/>
  <c r="L187" i="72"/>
  <c r="L189" i="72" s="1"/>
  <c r="K136" i="72"/>
  <c r="K138" i="72" s="1"/>
  <c r="L131" i="72"/>
  <c r="K152" i="72"/>
  <c r="L146" i="72"/>
  <c r="H140" i="72"/>
  <c r="K230" i="71"/>
  <c r="K257" i="71" s="1"/>
  <c r="L223" i="71"/>
  <c r="L36" i="71"/>
  <c r="I69" i="71"/>
  <c r="I74" i="71" s="1"/>
  <c r="M182" i="71"/>
  <c r="M187" i="71" s="1"/>
  <c r="L187" i="71"/>
  <c r="M206" i="71"/>
  <c r="M217" i="71" s="1"/>
  <c r="M256" i="71" s="1"/>
  <c r="L217" i="71"/>
  <c r="L256" i="71" s="1"/>
  <c r="J52" i="71"/>
  <c r="J49" i="71"/>
  <c r="J53" i="71" s="1"/>
  <c r="J50" i="71" s="1"/>
  <c r="J116" i="71"/>
  <c r="J121" i="71" s="1"/>
  <c r="J108" i="71"/>
  <c r="J104" i="71"/>
  <c r="J96" i="71"/>
  <c r="J105" i="71"/>
  <c r="J102" i="71"/>
  <c r="J97" i="71"/>
  <c r="J32" i="71"/>
  <c r="J112" i="71" s="1"/>
  <c r="J95" i="71"/>
  <c r="J31" i="71"/>
  <c r="J30" i="71" s="1"/>
  <c r="L35" i="71"/>
  <c r="L29" i="71"/>
  <c r="M27" i="71"/>
  <c r="M165" i="71"/>
  <c r="M251" i="71" s="1"/>
  <c r="I258" i="71"/>
  <c r="L165" i="71"/>
  <c r="L251" i="71" s="1"/>
  <c r="K200" i="71"/>
  <c r="L195" i="71"/>
  <c r="I79" i="71"/>
  <c r="I76" i="71"/>
  <c r="I75" i="71" s="1"/>
  <c r="I70" i="71"/>
  <c r="M266" i="71"/>
  <c r="M269" i="71" s="1"/>
  <c r="L269" i="71"/>
  <c r="J98" i="71"/>
  <c r="J71" i="71"/>
  <c r="J99" i="71"/>
  <c r="M177" i="71"/>
  <c r="M180" i="71" s="1"/>
  <c r="L180" i="71"/>
  <c r="L189" i="71" s="1"/>
  <c r="J69" i="71"/>
  <c r="J74" i="71" s="1"/>
  <c r="M55" i="71"/>
  <c r="M57" i="71" s="1"/>
  <c r="L57" i="71"/>
  <c r="J255" i="71"/>
  <c r="J258" i="71" s="1"/>
  <c r="J234" i="71"/>
  <c r="L152" i="71"/>
  <c r="L153" i="71" s="1"/>
  <c r="L250" i="71" s="1"/>
  <c r="M146" i="71"/>
  <c r="M152" i="71" s="1"/>
  <c r="H140" i="71"/>
  <c r="K189" i="71"/>
  <c r="K26" i="71"/>
  <c r="L24" i="71"/>
  <c r="K45" i="71"/>
  <c r="K48" i="71"/>
  <c r="K72" i="71"/>
  <c r="K77" i="71" s="1"/>
  <c r="K100" i="71"/>
  <c r="K47" i="71"/>
  <c r="K44" i="71"/>
  <c r="I99" i="70"/>
  <c r="I71" i="70"/>
  <c r="I98" i="70"/>
  <c r="J100" i="70"/>
  <c r="J47" i="70"/>
  <c r="J72" i="70"/>
  <c r="J77" i="70" s="1"/>
  <c r="J48" i="70"/>
  <c r="J44" i="70"/>
  <c r="J45" i="70"/>
  <c r="K35" i="70"/>
  <c r="K29" i="70"/>
  <c r="L27" i="70"/>
  <c r="L129" i="70"/>
  <c r="M124" i="70"/>
  <c r="M129" i="70" s="1"/>
  <c r="M206" i="70"/>
  <c r="M217" i="70" s="1"/>
  <c r="M256" i="70" s="1"/>
  <c r="L217" i="70"/>
  <c r="L256" i="70" s="1"/>
  <c r="K164" i="70"/>
  <c r="K165" i="70" s="1"/>
  <c r="K251" i="70" s="1"/>
  <c r="L158" i="70"/>
  <c r="G79" i="70"/>
  <c r="G76" i="70"/>
  <c r="G75" i="70" s="1"/>
  <c r="G70" i="70"/>
  <c r="K200" i="70"/>
  <c r="L195" i="70"/>
  <c r="M266" i="70"/>
  <c r="M269" i="70" s="1"/>
  <c r="L269" i="70"/>
  <c r="M182" i="70"/>
  <c r="M187" i="70" s="1"/>
  <c r="L187" i="70"/>
  <c r="M177" i="70"/>
  <c r="M180" i="70" s="1"/>
  <c r="L180" i="70"/>
  <c r="H107" i="70"/>
  <c r="H109" i="70" s="1"/>
  <c r="H69" i="70"/>
  <c r="H74" i="70" s="1"/>
  <c r="L26" i="70"/>
  <c r="M24" i="70"/>
  <c r="L63" i="70"/>
  <c r="L60" i="70"/>
  <c r="M58" i="70"/>
  <c r="J255" i="70"/>
  <c r="J258" i="70" s="1"/>
  <c r="J234" i="70"/>
  <c r="K189" i="70"/>
  <c r="J64" i="70"/>
  <c r="J61" i="70" s="1"/>
  <c r="K116" i="70"/>
  <c r="K121" i="70" s="1"/>
  <c r="K105" i="70"/>
  <c r="K102" i="70"/>
  <c r="K97" i="70"/>
  <c r="K108" i="70"/>
  <c r="K96" i="70"/>
  <c r="K95" i="70"/>
  <c r="K32" i="70"/>
  <c r="K112" i="70" s="1"/>
  <c r="K104" i="70"/>
  <c r="H70" i="70"/>
  <c r="H76" i="70"/>
  <c r="H75" i="70" s="1"/>
  <c r="H79" i="70"/>
  <c r="K230" i="70"/>
  <c r="K257" i="70" s="1"/>
  <c r="L223" i="70"/>
  <c r="M25" i="70"/>
  <c r="I52" i="70"/>
  <c r="I49" i="70"/>
  <c r="I53" i="70" s="1"/>
  <c r="I50" i="70" s="1"/>
  <c r="I31" i="70" s="1"/>
  <c r="I30" i="70" s="1"/>
  <c r="K136" i="70"/>
  <c r="L131" i="70"/>
  <c r="K57" i="70"/>
  <c r="L55" i="70"/>
  <c r="J114" i="70"/>
  <c r="M36" i="70"/>
  <c r="K138" i="70"/>
  <c r="H107" i="69"/>
  <c r="H109" i="69" s="1"/>
  <c r="H69" i="69"/>
  <c r="H74" i="69" s="1"/>
  <c r="L153" i="69"/>
  <c r="L250" i="69" s="1"/>
  <c r="J190" i="69"/>
  <c r="J254" i="69" s="1"/>
  <c r="I46" i="69"/>
  <c r="K29" i="69"/>
  <c r="L27" i="69"/>
  <c r="K35" i="69"/>
  <c r="M146" i="69"/>
  <c r="M152" i="69" s="1"/>
  <c r="L152" i="69"/>
  <c r="K60" i="69"/>
  <c r="K64" i="69" s="1"/>
  <c r="K61" i="69" s="1"/>
  <c r="L58" i="69"/>
  <c r="K63" i="69"/>
  <c r="J116" i="69"/>
  <c r="J121" i="69" s="1"/>
  <c r="J95" i="69"/>
  <c r="J108" i="69"/>
  <c r="J104" i="69"/>
  <c r="J96" i="69"/>
  <c r="J32" i="69"/>
  <c r="J112" i="69" s="1"/>
  <c r="J97" i="69"/>
  <c r="J105" i="69"/>
  <c r="J102" i="69"/>
  <c r="I258" i="69"/>
  <c r="M36" i="69"/>
  <c r="M177" i="69"/>
  <c r="M180" i="69" s="1"/>
  <c r="M189" i="69" s="1"/>
  <c r="L180" i="69"/>
  <c r="L189" i="69" s="1"/>
  <c r="K230" i="69"/>
  <c r="K257" i="69" s="1"/>
  <c r="L223" i="69"/>
  <c r="J45" i="69"/>
  <c r="J100" i="69"/>
  <c r="J48" i="69"/>
  <c r="J72" i="69"/>
  <c r="J77" i="69" s="1"/>
  <c r="J47" i="69"/>
  <c r="J44" i="69"/>
  <c r="K200" i="69"/>
  <c r="L195" i="69"/>
  <c r="H79" i="69"/>
  <c r="H70" i="69"/>
  <c r="H76" i="69"/>
  <c r="H75" i="69" s="1"/>
  <c r="L190" i="69"/>
  <c r="L254" i="69" s="1"/>
  <c r="L56" i="69"/>
  <c r="K57" i="69"/>
  <c r="J64" i="69"/>
  <c r="J61" i="69" s="1"/>
  <c r="J255" i="69"/>
  <c r="J234" i="69"/>
  <c r="L131" i="69"/>
  <c r="K136" i="69"/>
  <c r="K138" i="69" s="1"/>
  <c r="I52" i="69"/>
  <c r="I49" i="69"/>
  <c r="I53" i="69" s="1"/>
  <c r="I50" i="69" s="1"/>
  <c r="I31" i="69" s="1"/>
  <c r="I30" i="69" s="1"/>
  <c r="L25" i="69"/>
  <c r="K26" i="69"/>
  <c r="P109" i="63"/>
  <c r="Q109" i="63" s="1"/>
  <c r="Q121" i="63" s="1"/>
  <c r="H140" i="63"/>
  <c r="I114" i="63"/>
  <c r="K100" i="63"/>
  <c r="K47" i="63"/>
  <c r="K72" i="63"/>
  <c r="K77" i="63" s="1"/>
  <c r="K45" i="63"/>
  <c r="K48" i="63"/>
  <c r="K44" i="63"/>
  <c r="K190" i="63"/>
  <c r="K254" i="63" s="1"/>
  <c r="L217" i="63"/>
  <c r="L256" i="63" s="1"/>
  <c r="M206" i="63"/>
  <c r="M217" i="63" s="1"/>
  <c r="M256" i="63" s="1"/>
  <c r="M177" i="63"/>
  <c r="M180" i="63" s="1"/>
  <c r="L180" i="63"/>
  <c r="K26" i="63"/>
  <c r="L24" i="63"/>
  <c r="K164" i="63"/>
  <c r="L158" i="63"/>
  <c r="K200" i="63"/>
  <c r="L195" i="63"/>
  <c r="K269" i="63"/>
  <c r="L266" i="63"/>
  <c r="L36" i="63"/>
  <c r="J95" i="63"/>
  <c r="J116" i="63"/>
  <c r="J121" i="63" s="1"/>
  <c r="J108" i="63"/>
  <c r="J104" i="63"/>
  <c r="J96" i="63"/>
  <c r="J105" i="63"/>
  <c r="J102" i="63"/>
  <c r="J32" i="63"/>
  <c r="J112" i="63" s="1"/>
  <c r="J97" i="63"/>
  <c r="K136" i="63"/>
  <c r="K138" i="63" s="1"/>
  <c r="L131" i="63"/>
  <c r="L187" i="63"/>
  <c r="M182" i="63"/>
  <c r="M187" i="63" s="1"/>
  <c r="J49" i="63"/>
  <c r="J53" i="63" s="1"/>
  <c r="J50" i="63" s="1"/>
  <c r="J31" i="63" s="1"/>
  <c r="J30" i="63" s="1"/>
  <c r="J52" i="63"/>
  <c r="K165" i="63"/>
  <c r="K251" i="63" s="1"/>
  <c r="J255" i="63"/>
  <c r="J258" i="63" s="1"/>
  <c r="J234" i="63"/>
  <c r="L29" i="63"/>
  <c r="M27" i="63"/>
  <c r="L35" i="63"/>
  <c r="K153" i="63"/>
  <c r="K250" i="63" s="1"/>
  <c r="J99" i="63"/>
  <c r="J98" i="63"/>
  <c r="J71" i="63"/>
  <c r="K230" i="63"/>
  <c r="K257" i="63" s="1"/>
  <c r="L223" i="63"/>
  <c r="M55" i="63"/>
  <c r="M57" i="63" s="1"/>
  <c r="L57" i="63"/>
  <c r="M146" i="63"/>
  <c r="M152" i="63" s="1"/>
  <c r="L152" i="63"/>
  <c r="L59" i="63"/>
  <c r="K63" i="63"/>
  <c r="K60" i="63"/>
  <c r="K64" i="63" s="1"/>
  <c r="K61" i="63" s="1"/>
  <c r="I76" i="63"/>
  <c r="I75" i="63" s="1"/>
  <c r="I79" i="63"/>
  <c r="I70" i="63"/>
  <c r="L25" i="63"/>
  <c r="L129" i="63"/>
  <c r="M124" i="63"/>
  <c r="M129" i="63" s="1"/>
  <c r="I69" i="63"/>
  <c r="I74" i="63" s="1"/>
  <c r="J255" i="45"/>
  <c r="J234" i="45"/>
  <c r="L217" i="45"/>
  <c r="L256" i="45" s="1"/>
  <c r="M206" i="45"/>
  <c r="M217" i="45" s="1"/>
  <c r="M256" i="45" s="1"/>
  <c r="M266" i="45"/>
  <c r="M269" i="45" s="1"/>
  <c r="L269" i="45"/>
  <c r="L129" i="45"/>
  <c r="M124" i="45"/>
  <c r="M129" i="45" s="1"/>
  <c r="J95" i="45"/>
  <c r="J96" i="45"/>
  <c r="J116" i="45"/>
  <c r="J121" i="45" s="1"/>
  <c r="J104" i="45"/>
  <c r="J105" i="45"/>
  <c r="J102" i="45"/>
  <c r="J32" i="45"/>
  <c r="J112" i="45" s="1"/>
  <c r="J108" i="45"/>
  <c r="J97" i="45"/>
  <c r="J31" i="45"/>
  <c r="J30" i="45" s="1"/>
  <c r="L182" i="45"/>
  <c r="K187" i="45"/>
  <c r="K189" i="45" s="1"/>
  <c r="I114" i="45"/>
  <c r="L223" i="45"/>
  <c r="K230" i="45"/>
  <c r="K257" i="45" s="1"/>
  <c r="H79" i="45"/>
  <c r="H76" i="45"/>
  <c r="H75" i="45" s="1"/>
  <c r="H70" i="45"/>
  <c r="H107" i="45"/>
  <c r="H109" i="45" s="1"/>
  <c r="H69" i="45"/>
  <c r="H74" i="45" s="1"/>
  <c r="L164" i="45"/>
  <c r="L165" i="45" s="1"/>
  <c r="L251" i="45" s="1"/>
  <c r="M158" i="45"/>
  <c r="M164" i="45" s="1"/>
  <c r="K190" i="45"/>
  <c r="K254" i="45" s="1"/>
  <c r="I258" i="45"/>
  <c r="K99" i="45"/>
  <c r="K98" i="45"/>
  <c r="K71" i="45"/>
  <c r="M153" i="45"/>
  <c r="M250" i="45" s="1"/>
  <c r="K200" i="45"/>
  <c r="L195" i="45"/>
  <c r="K165" i="45"/>
  <c r="K251" i="45" s="1"/>
  <c r="K136" i="45"/>
  <c r="K138" i="45" s="1"/>
  <c r="L131" i="45"/>
  <c r="L63" i="45"/>
  <c r="L60" i="45"/>
  <c r="L64" i="45" s="1"/>
  <c r="L61" i="45" s="1"/>
  <c r="M58" i="45"/>
  <c r="I70" i="45"/>
  <c r="I76" i="45"/>
  <c r="I75" i="45" s="1"/>
  <c r="I79" i="45"/>
  <c r="L25" i="45"/>
  <c r="K26" i="45"/>
  <c r="L153" i="45"/>
  <c r="L250" i="45" s="1"/>
  <c r="J190" i="45"/>
  <c r="J254" i="45" s="1"/>
  <c r="J258" i="45" s="1"/>
  <c r="P109" i="46"/>
  <c r="Q109" i="46" s="1"/>
  <c r="Q121" i="46" s="1"/>
  <c r="H140" i="46"/>
  <c r="I52" i="46"/>
  <c r="I49" i="46"/>
  <c r="J116" i="46"/>
  <c r="J121" i="46" s="1"/>
  <c r="J95" i="46"/>
  <c r="J108" i="46"/>
  <c r="J104" i="46"/>
  <c r="J96" i="46"/>
  <c r="J32" i="46"/>
  <c r="J112" i="46" s="1"/>
  <c r="J105" i="46"/>
  <c r="J102" i="46"/>
  <c r="J97" i="46"/>
  <c r="K230" i="46"/>
  <c r="K257" i="46" s="1"/>
  <c r="L223" i="46"/>
  <c r="J234" i="46"/>
  <c r="J45" i="46"/>
  <c r="J100" i="46"/>
  <c r="J72" i="46"/>
  <c r="J77" i="46" s="1"/>
  <c r="J47" i="46"/>
  <c r="J44" i="46"/>
  <c r="J46" i="46" s="1"/>
  <c r="J48" i="46"/>
  <c r="K60" i="46"/>
  <c r="K64" i="46" s="1"/>
  <c r="K61" i="46" s="1"/>
  <c r="K63" i="46"/>
  <c r="L58" i="46"/>
  <c r="M195" i="46"/>
  <c r="M200" i="46" s="1"/>
  <c r="L200" i="46"/>
  <c r="K136" i="46"/>
  <c r="K138" i="46" s="1"/>
  <c r="L131" i="46"/>
  <c r="L25" i="46"/>
  <c r="K26" i="46"/>
  <c r="K29" i="46"/>
  <c r="L27" i="46"/>
  <c r="K35" i="46"/>
  <c r="K153" i="46"/>
  <c r="K250" i="46" s="1"/>
  <c r="L56" i="46"/>
  <c r="K57" i="46"/>
  <c r="K180" i="46"/>
  <c r="K189" i="46" s="1"/>
  <c r="L177" i="46"/>
  <c r="K255" i="46"/>
  <c r="L164" i="46"/>
  <c r="M165" i="46" s="1"/>
  <c r="M251" i="46" s="1"/>
  <c r="M158" i="46"/>
  <c r="M164" i="46" s="1"/>
  <c r="M146" i="46"/>
  <c r="M152" i="46" s="1"/>
  <c r="L152" i="46"/>
  <c r="I114" i="46"/>
  <c r="I46" i="46"/>
  <c r="J190" i="46"/>
  <c r="J254" i="46" s="1"/>
  <c r="J258" i="46" s="1"/>
  <c r="M25" i="47"/>
  <c r="L26" i="47"/>
  <c r="K35" i="47"/>
  <c r="K29" i="47"/>
  <c r="L27" i="47"/>
  <c r="M266" i="47"/>
  <c r="M269" i="47" s="1"/>
  <c r="L269" i="47"/>
  <c r="K189" i="47"/>
  <c r="J114" i="47"/>
  <c r="M206" i="47"/>
  <c r="M217" i="47" s="1"/>
  <c r="M256" i="47" s="1"/>
  <c r="L217" i="47"/>
  <c r="L256" i="47" s="1"/>
  <c r="P109" i="47"/>
  <c r="Q109" i="47" s="1"/>
  <c r="Q121" i="47" s="1"/>
  <c r="H140" i="47"/>
  <c r="J255" i="47"/>
  <c r="J234" i="47"/>
  <c r="M177" i="47"/>
  <c r="M180" i="47" s="1"/>
  <c r="L180" i="47"/>
  <c r="K164" i="47"/>
  <c r="L158" i="47"/>
  <c r="L58" i="47"/>
  <c r="K60" i="47"/>
  <c r="K64" i="47" s="1"/>
  <c r="K61" i="47" s="1"/>
  <c r="K63" i="47"/>
  <c r="M182" i="47"/>
  <c r="M187" i="47" s="1"/>
  <c r="L187" i="47"/>
  <c r="K190" i="47"/>
  <c r="K254" i="47" s="1"/>
  <c r="J190" i="47"/>
  <c r="J254" i="47" s="1"/>
  <c r="K136" i="47"/>
  <c r="K138" i="47" s="1"/>
  <c r="L131" i="47"/>
  <c r="K230" i="47"/>
  <c r="K257" i="47" s="1"/>
  <c r="L223" i="47"/>
  <c r="L129" i="47"/>
  <c r="M124" i="47"/>
  <c r="M129" i="47" s="1"/>
  <c r="K95" i="47"/>
  <c r="K116" i="47"/>
  <c r="K121" i="47" s="1"/>
  <c r="K108" i="47"/>
  <c r="K104" i="47"/>
  <c r="K96" i="47"/>
  <c r="K105" i="47"/>
  <c r="K102" i="47"/>
  <c r="K97" i="47"/>
  <c r="K32" i="47"/>
  <c r="K112" i="47" s="1"/>
  <c r="K200" i="47"/>
  <c r="L195" i="47"/>
  <c r="I69" i="47"/>
  <c r="I74" i="47" s="1"/>
  <c r="I69" i="48"/>
  <c r="I74" i="48" s="1"/>
  <c r="L136" i="48"/>
  <c r="L138" i="48" s="1"/>
  <c r="M131" i="48"/>
  <c r="M136" i="48" s="1"/>
  <c r="M138" i="48" s="1"/>
  <c r="K255" i="48"/>
  <c r="L177" i="48"/>
  <c r="K180" i="48"/>
  <c r="K189" i="48" s="1"/>
  <c r="I79" i="48"/>
  <c r="I76" i="48"/>
  <c r="I75" i="48" s="1"/>
  <c r="I70" i="48"/>
  <c r="P109" i="48"/>
  <c r="Q109" i="48" s="1"/>
  <c r="Q121" i="48" s="1"/>
  <c r="H140" i="48"/>
  <c r="L25" i="48"/>
  <c r="K164" i="48"/>
  <c r="L158" i="48"/>
  <c r="L24" i="48"/>
  <c r="K26" i="48"/>
  <c r="L206" i="48"/>
  <c r="K217" i="48"/>
  <c r="K256" i="48" s="1"/>
  <c r="I114" i="48"/>
  <c r="M27" i="48"/>
  <c r="L29" i="48"/>
  <c r="L35" i="48"/>
  <c r="K63" i="48"/>
  <c r="L58" i="48"/>
  <c r="K60" i="48"/>
  <c r="K64" i="48" s="1"/>
  <c r="K61" i="48" s="1"/>
  <c r="M36" i="48"/>
  <c r="M266" i="48"/>
  <c r="M269" i="48" s="1"/>
  <c r="L269" i="48"/>
  <c r="J95" i="48"/>
  <c r="J116" i="48"/>
  <c r="J121" i="48" s="1"/>
  <c r="J108" i="48"/>
  <c r="J104" i="48"/>
  <c r="J96" i="48"/>
  <c r="J32" i="48"/>
  <c r="J112" i="48" s="1"/>
  <c r="J105" i="48"/>
  <c r="J97" i="48"/>
  <c r="J102" i="48"/>
  <c r="J165" i="48"/>
  <c r="J251" i="48" s="1"/>
  <c r="J190" i="48"/>
  <c r="J254" i="48" s="1"/>
  <c r="J258" i="48" s="1"/>
  <c r="M182" i="48"/>
  <c r="M187" i="48" s="1"/>
  <c r="L187" i="48"/>
  <c r="L200" i="48"/>
  <c r="M195" i="48"/>
  <c r="M200" i="48" s="1"/>
  <c r="L25" i="49"/>
  <c r="H70" i="49"/>
  <c r="H76" i="49"/>
  <c r="H75" i="49" s="1"/>
  <c r="H79" i="49"/>
  <c r="J255" i="49"/>
  <c r="J258" i="49" s="1"/>
  <c r="J234" i="49"/>
  <c r="M55" i="49"/>
  <c r="M57" i="49" s="1"/>
  <c r="L57" i="49"/>
  <c r="L189" i="49"/>
  <c r="M266" i="49"/>
  <c r="M269" i="49" s="1"/>
  <c r="L269" i="49"/>
  <c r="K200" i="49"/>
  <c r="L195" i="49"/>
  <c r="L35" i="49"/>
  <c r="M27" i="49"/>
  <c r="L29" i="49"/>
  <c r="J52" i="49"/>
  <c r="J49" i="49"/>
  <c r="J53" i="49" s="1"/>
  <c r="J50" i="49" s="1"/>
  <c r="J31" i="49" s="1"/>
  <c r="J30" i="49" s="1"/>
  <c r="J69" i="49" s="1"/>
  <c r="J74" i="49" s="1"/>
  <c r="L224" i="49"/>
  <c r="K230" i="49"/>
  <c r="K257" i="49" s="1"/>
  <c r="I53" i="49"/>
  <c r="I50" i="49" s="1"/>
  <c r="I31" i="49" s="1"/>
  <c r="I30" i="49" s="1"/>
  <c r="L217" i="49"/>
  <c r="L256" i="49" s="1"/>
  <c r="M206" i="49"/>
  <c r="M217" i="49" s="1"/>
  <c r="M256" i="49" s="1"/>
  <c r="J165" i="49"/>
  <c r="J251" i="49" s="1"/>
  <c r="K100" i="49"/>
  <c r="K72" i="49"/>
  <c r="K77" i="49" s="1"/>
  <c r="K47" i="49"/>
  <c r="K48" i="49"/>
  <c r="K44" i="49"/>
  <c r="K46" i="49" s="1"/>
  <c r="K45" i="49"/>
  <c r="K60" i="49"/>
  <c r="K64" i="49" s="1"/>
  <c r="K61" i="49" s="1"/>
  <c r="K63" i="49"/>
  <c r="L58" i="49"/>
  <c r="K136" i="49"/>
  <c r="K138" i="49" s="1"/>
  <c r="L131" i="49"/>
  <c r="K26" i="49"/>
  <c r="L24" i="49"/>
  <c r="M189" i="49"/>
  <c r="J98" i="49"/>
  <c r="J99" i="49"/>
  <c r="J71" i="49"/>
  <c r="L129" i="49"/>
  <c r="M124" i="49"/>
  <c r="M129" i="49" s="1"/>
  <c r="H107" i="49"/>
  <c r="H109" i="49" s="1"/>
  <c r="H69" i="49"/>
  <c r="H74" i="49" s="1"/>
  <c r="I98" i="49"/>
  <c r="I99" i="49"/>
  <c r="I71" i="49"/>
  <c r="K164" i="49"/>
  <c r="L158" i="49"/>
  <c r="J95" i="49"/>
  <c r="J116" i="49"/>
  <c r="J121" i="49" s="1"/>
  <c r="J108" i="49"/>
  <c r="J104" i="49"/>
  <c r="J96" i="49"/>
  <c r="J32" i="49"/>
  <c r="J112" i="49" s="1"/>
  <c r="J97" i="49"/>
  <c r="J102" i="49"/>
  <c r="J105" i="49"/>
  <c r="L36" i="49"/>
  <c r="L164" i="50"/>
  <c r="L165" i="50" s="1"/>
  <c r="L251" i="50" s="1"/>
  <c r="M158" i="50"/>
  <c r="M164" i="50" s="1"/>
  <c r="H79" i="50"/>
  <c r="H76" i="50"/>
  <c r="H75" i="50" s="1"/>
  <c r="H70" i="50"/>
  <c r="J52" i="50"/>
  <c r="J49" i="50"/>
  <c r="M266" i="50"/>
  <c r="M269" i="50" s="1"/>
  <c r="L269" i="50"/>
  <c r="L36" i="50"/>
  <c r="Q121" i="50"/>
  <c r="L24" i="50"/>
  <c r="K26" i="50"/>
  <c r="J46" i="50"/>
  <c r="L136" i="50"/>
  <c r="M131" i="50"/>
  <c r="M136" i="50" s="1"/>
  <c r="K138" i="50"/>
  <c r="K190" i="50"/>
  <c r="K254" i="50" s="1"/>
  <c r="J190" i="50"/>
  <c r="J254" i="50" s="1"/>
  <c r="M206" i="50"/>
  <c r="M217" i="50" s="1"/>
  <c r="M256" i="50" s="1"/>
  <c r="L217" i="50"/>
  <c r="L256" i="50" s="1"/>
  <c r="K200" i="50"/>
  <c r="L195" i="50"/>
  <c r="M177" i="50"/>
  <c r="M180" i="50" s="1"/>
  <c r="L180" i="50"/>
  <c r="J105" i="50"/>
  <c r="J102" i="50"/>
  <c r="J97" i="50"/>
  <c r="J95" i="50"/>
  <c r="J104" i="50"/>
  <c r="J32" i="50"/>
  <c r="J112" i="50" s="1"/>
  <c r="J96" i="50"/>
  <c r="J116" i="50"/>
  <c r="J121" i="50" s="1"/>
  <c r="J108" i="50"/>
  <c r="K230" i="50"/>
  <c r="K257" i="50" s="1"/>
  <c r="L223" i="50"/>
  <c r="L57" i="50"/>
  <c r="M55" i="50"/>
  <c r="M57" i="50" s="1"/>
  <c r="M124" i="50"/>
  <c r="M129" i="50" s="1"/>
  <c r="L129" i="50"/>
  <c r="L138" i="50" s="1"/>
  <c r="J153" i="50"/>
  <c r="J250" i="50" s="1"/>
  <c r="L35" i="50"/>
  <c r="L29" i="50"/>
  <c r="M27" i="50"/>
  <c r="J255" i="50"/>
  <c r="J234" i="50"/>
  <c r="K72" i="50"/>
  <c r="K77" i="50" s="1"/>
  <c r="K100" i="50"/>
  <c r="K47" i="50"/>
  <c r="K48" i="50"/>
  <c r="K44" i="50"/>
  <c r="K45" i="50"/>
  <c r="M182" i="50"/>
  <c r="M187" i="50" s="1"/>
  <c r="L187" i="50"/>
  <c r="M60" i="50"/>
  <c r="M64" i="50" s="1"/>
  <c r="M61" i="50" s="1"/>
  <c r="M63" i="50"/>
  <c r="K152" i="50"/>
  <c r="K153" i="50" s="1"/>
  <c r="K250" i="50" s="1"/>
  <c r="L146" i="50"/>
  <c r="H140" i="50"/>
  <c r="M58" i="43"/>
  <c r="L60" i="43"/>
  <c r="L63" i="43"/>
  <c r="K35" i="43"/>
  <c r="K29" i="43"/>
  <c r="L27" i="43"/>
  <c r="L26" i="43"/>
  <c r="M24" i="43"/>
  <c r="M177" i="43"/>
  <c r="M180" i="43" s="1"/>
  <c r="L180" i="43"/>
  <c r="J100" i="43"/>
  <c r="J47" i="43"/>
  <c r="J48" i="43"/>
  <c r="J44" i="43"/>
  <c r="J46" i="43" s="1"/>
  <c r="J72" i="43"/>
  <c r="J77" i="43" s="1"/>
  <c r="J45" i="43"/>
  <c r="M266" i="43"/>
  <c r="M269" i="43" s="1"/>
  <c r="L269" i="43"/>
  <c r="M124" i="43"/>
  <c r="M129" i="43" s="1"/>
  <c r="L129" i="43"/>
  <c r="M182" i="43"/>
  <c r="M187" i="43" s="1"/>
  <c r="L187" i="43"/>
  <c r="H53" i="43"/>
  <c r="H50" i="43" s="1"/>
  <c r="H31" i="43" s="1"/>
  <c r="H30" i="43" s="1"/>
  <c r="I46" i="43"/>
  <c r="K95" i="43"/>
  <c r="K116" i="43"/>
  <c r="K121" i="43" s="1"/>
  <c r="K108" i="43"/>
  <c r="K104" i="43"/>
  <c r="K96" i="43"/>
  <c r="K97" i="43"/>
  <c r="K105" i="43"/>
  <c r="K102" i="43"/>
  <c r="K32" i="43"/>
  <c r="K112" i="43" s="1"/>
  <c r="K189" i="43"/>
  <c r="L55" i="43"/>
  <c r="K57" i="43"/>
  <c r="K64" i="43" s="1"/>
  <c r="K61" i="43" s="1"/>
  <c r="J114" i="43"/>
  <c r="J64" i="43"/>
  <c r="J61" i="43" s="1"/>
  <c r="K230" i="43"/>
  <c r="K257" i="43" s="1"/>
  <c r="L223" i="43"/>
  <c r="K152" i="43"/>
  <c r="L146" i="43"/>
  <c r="K200" i="43"/>
  <c r="L195" i="43"/>
  <c r="K153" i="43"/>
  <c r="K250" i="43" s="1"/>
  <c r="M36" i="43"/>
  <c r="J255" i="43"/>
  <c r="J234" i="43"/>
  <c r="H99" i="43"/>
  <c r="H98" i="43"/>
  <c r="H71" i="43"/>
  <c r="L164" i="43"/>
  <c r="M158" i="43"/>
  <c r="M164" i="43" s="1"/>
  <c r="J190" i="43"/>
  <c r="J254" i="43" s="1"/>
  <c r="M206" i="43"/>
  <c r="M217" i="43" s="1"/>
  <c r="M256" i="43" s="1"/>
  <c r="L217" i="43"/>
  <c r="L256" i="43" s="1"/>
  <c r="I49" i="43"/>
  <c r="I53" i="43" s="1"/>
  <c r="I50" i="43" s="1"/>
  <c r="I31" i="43" s="1"/>
  <c r="I30" i="43" s="1"/>
  <c r="I52" i="43"/>
  <c r="K165" i="43"/>
  <c r="K251" i="43" s="1"/>
  <c r="L136" i="43"/>
  <c r="M131" i="43"/>
  <c r="M136" i="43" s="1"/>
  <c r="I52" i="44"/>
  <c r="I49" i="44"/>
  <c r="L152" i="44"/>
  <c r="L153" i="44" s="1"/>
  <c r="L250" i="44" s="1"/>
  <c r="M146" i="44"/>
  <c r="M152" i="44" s="1"/>
  <c r="M25" i="44"/>
  <c r="I46" i="44"/>
  <c r="L164" i="44"/>
  <c r="M158" i="44"/>
  <c r="M164" i="44" s="1"/>
  <c r="G70" i="44"/>
  <c r="G76" i="44"/>
  <c r="G75" i="44" s="1"/>
  <c r="G79" i="44"/>
  <c r="I114" i="44"/>
  <c r="J234" i="44"/>
  <c r="J255" i="44"/>
  <c r="J258" i="44" s="1"/>
  <c r="J105" i="44"/>
  <c r="J102" i="44"/>
  <c r="J97" i="44"/>
  <c r="J116" i="44"/>
  <c r="J121" i="44" s="1"/>
  <c r="J95" i="44"/>
  <c r="J96" i="44"/>
  <c r="J104" i="44"/>
  <c r="J32" i="44"/>
  <c r="J112" i="44" s="1"/>
  <c r="J108" i="44"/>
  <c r="G107" i="44"/>
  <c r="G109" i="44" s="1"/>
  <c r="G140" i="44" s="1"/>
  <c r="H141" i="44" s="1"/>
  <c r="H249" i="44" s="1"/>
  <c r="H252" i="44" s="1"/>
  <c r="H260" i="44" s="1"/>
  <c r="H273" i="44" s="1"/>
  <c r="H274" i="44" s="1"/>
  <c r="G69" i="44"/>
  <c r="G74" i="44" s="1"/>
  <c r="L195" i="44"/>
  <c r="K200" i="44"/>
  <c r="L266" i="44"/>
  <c r="K269" i="44"/>
  <c r="L165" i="44"/>
  <c r="L251" i="44" s="1"/>
  <c r="K57" i="44"/>
  <c r="L55" i="44"/>
  <c r="M63" i="44"/>
  <c r="M60" i="44"/>
  <c r="M131" i="44"/>
  <c r="M136" i="44" s="1"/>
  <c r="M138" i="44" s="1"/>
  <c r="L136" i="44"/>
  <c r="L138" i="44" s="1"/>
  <c r="K35" i="44"/>
  <c r="K29" i="44"/>
  <c r="L27" i="44"/>
  <c r="J47" i="44"/>
  <c r="J72" i="44"/>
  <c r="J77" i="44" s="1"/>
  <c r="J48" i="44"/>
  <c r="J44" i="44"/>
  <c r="J45" i="44"/>
  <c r="J100" i="44"/>
  <c r="J64" i="44"/>
  <c r="J61" i="44" s="1"/>
  <c r="L24" i="44"/>
  <c r="K26" i="44"/>
  <c r="H98" i="42"/>
  <c r="H99" i="42"/>
  <c r="H71" i="42"/>
  <c r="J98" i="42"/>
  <c r="J99" i="42"/>
  <c r="J71" i="42"/>
  <c r="M177" i="42"/>
  <c r="M180" i="42" s="1"/>
  <c r="M189" i="42" s="1"/>
  <c r="L180" i="42"/>
  <c r="L189" i="42" s="1"/>
  <c r="M190" i="42" s="1"/>
  <c r="M254" i="42" s="1"/>
  <c r="M25" i="42"/>
  <c r="L152" i="42"/>
  <c r="M146" i="42"/>
  <c r="M152" i="42" s="1"/>
  <c r="I114" i="42"/>
  <c r="K136" i="42"/>
  <c r="L131" i="42"/>
  <c r="H53" i="42"/>
  <c r="H50" i="42" s="1"/>
  <c r="H31" i="42" s="1"/>
  <c r="H30" i="42" s="1"/>
  <c r="M124" i="42"/>
  <c r="M129" i="42" s="1"/>
  <c r="L129" i="42"/>
  <c r="L190" i="42"/>
  <c r="L254" i="42" s="1"/>
  <c r="K230" i="42"/>
  <c r="K257" i="42" s="1"/>
  <c r="L223" i="42"/>
  <c r="K63" i="42"/>
  <c r="L58" i="42"/>
  <c r="K60" i="42"/>
  <c r="K64" i="42" s="1"/>
  <c r="K61" i="42" s="1"/>
  <c r="J116" i="42"/>
  <c r="J121" i="42" s="1"/>
  <c r="J108" i="42"/>
  <c r="J104" i="42"/>
  <c r="J96" i="42"/>
  <c r="J105" i="42"/>
  <c r="J102" i="42"/>
  <c r="J97" i="42"/>
  <c r="J95" i="42"/>
  <c r="J32" i="42"/>
  <c r="J112" i="42" s="1"/>
  <c r="K164" i="42"/>
  <c r="K165" i="42" s="1"/>
  <c r="K251" i="42" s="1"/>
  <c r="L158" i="42"/>
  <c r="K49" i="42"/>
  <c r="K53" i="42" s="1"/>
  <c r="K50" i="42" s="1"/>
  <c r="K52" i="42"/>
  <c r="L195" i="42"/>
  <c r="K200" i="42"/>
  <c r="J53" i="42"/>
  <c r="J50" i="42" s="1"/>
  <c r="J31" i="42" s="1"/>
  <c r="J30" i="42" s="1"/>
  <c r="L36" i="42"/>
  <c r="K138" i="42"/>
  <c r="M266" i="42"/>
  <c r="M269" i="42" s="1"/>
  <c r="L269" i="42"/>
  <c r="K35" i="42"/>
  <c r="L27" i="42"/>
  <c r="K29" i="42"/>
  <c r="L100" i="42"/>
  <c r="L48" i="42"/>
  <c r="L44" i="42"/>
  <c r="L47" i="42"/>
  <c r="L45" i="42"/>
  <c r="L72" i="42"/>
  <c r="L77" i="42" s="1"/>
  <c r="K99" i="42"/>
  <c r="K71" i="42"/>
  <c r="K98" i="42"/>
  <c r="I79" i="42"/>
  <c r="I76" i="42"/>
  <c r="I75" i="42" s="1"/>
  <c r="I70" i="42"/>
  <c r="J255" i="42"/>
  <c r="J258" i="42" s="1"/>
  <c r="J234" i="42"/>
  <c r="M72" i="42"/>
  <c r="M77" i="42" s="1"/>
  <c r="M45" i="42"/>
  <c r="M100" i="42"/>
  <c r="M44" i="42"/>
  <c r="M47" i="42"/>
  <c r="M48" i="42"/>
  <c r="M206" i="42"/>
  <c r="M217" i="42" s="1"/>
  <c r="M256" i="42" s="1"/>
  <c r="L217" i="42"/>
  <c r="L256" i="42" s="1"/>
  <c r="K26" i="42"/>
  <c r="L24" i="42"/>
  <c r="L217" i="41"/>
  <c r="L256" i="41" s="1"/>
  <c r="M206" i="41"/>
  <c r="M217" i="41" s="1"/>
  <c r="M256" i="41" s="1"/>
  <c r="I98" i="41"/>
  <c r="I99" i="41"/>
  <c r="I71" i="41"/>
  <c r="L27" i="41"/>
  <c r="K29" i="41"/>
  <c r="K35" i="41"/>
  <c r="L164" i="41"/>
  <c r="M165" i="41" s="1"/>
  <c r="M251" i="41" s="1"/>
  <c r="M158" i="41"/>
  <c r="M164" i="41" s="1"/>
  <c r="L224" i="41"/>
  <c r="K230" i="41"/>
  <c r="K257" i="41" s="1"/>
  <c r="K129" i="41"/>
  <c r="K138" i="41" s="1"/>
  <c r="L124" i="41"/>
  <c r="K60" i="41"/>
  <c r="K63" i="41"/>
  <c r="L58" i="41"/>
  <c r="K57" i="41"/>
  <c r="L55" i="41"/>
  <c r="L195" i="41"/>
  <c r="K200" i="41"/>
  <c r="P109" i="41"/>
  <c r="Q109" i="41" s="1"/>
  <c r="Q121" i="41" s="1"/>
  <c r="H140" i="41"/>
  <c r="I49" i="41"/>
  <c r="I53" i="41" s="1"/>
  <c r="I50" i="41" s="1"/>
  <c r="I31" i="41" s="1"/>
  <c r="I30" i="41" s="1"/>
  <c r="I52" i="41"/>
  <c r="M153" i="41"/>
  <c r="M250" i="41" s="1"/>
  <c r="M266" i="41"/>
  <c r="M269" i="41" s="1"/>
  <c r="L269" i="41"/>
  <c r="J100" i="41"/>
  <c r="J45" i="41"/>
  <c r="J72" i="41"/>
  <c r="J77" i="41" s="1"/>
  <c r="J47" i="41"/>
  <c r="J44" i="41"/>
  <c r="J48" i="41"/>
  <c r="M177" i="41"/>
  <c r="M180" i="41" s="1"/>
  <c r="M189" i="41" s="1"/>
  <c r="L180" i="41"/>
  <c r="L189" i="41" s="1"/>
  <c r="J255" i="41"/>
  <c r="J258" i="41" s="1"/>
  <c r="J234" i="41"/>
  <c r="P109" i="40"/>
  <c r="Q109" i="40" s="1"/>
  <c r="H140" i="40"/>
  <c r="J116" i="40"/>
  <c r="J121" i="40" s="1"/>
  <c r="J108" i="40"/>
  <c r="J104" i="40"/>
  <c r="J96" i="40"/>
  <c r="J97" i="40"/>
  <c r="J95" i="40"/>
  <c r="J105" i="40"/>
  <c r="J102" i="40"/>
  <c r="J32" i="40"/>
  <c r="J112" i="40" s="1"/>
  <c r="K164" i="40"/>
  <c r="L158" i="40"/>
  <c r="L36" i="40"/>
  <c r="M182" i="40"/>
  <c r="M187" i="40" s="1"/>
  <c r="L187" i="40"/>
  <c r="L200" i="40"/>
  <c r="M195" i="40"/>
  <c r="M200" i="40" s="1"/>
  <c r="J52" i="40"/>
  <c r="J49" i="40"/>
  <c r="L57" i="40"/>
  <c r="M55" i="40"/>
  <c r="M57" i="40" s="1"/>
  <c r="K63" i="40"/>
  <c r="K60" i="40"/>
  <c r="K64" i="40" s="1"/>
  <c r="K61" i="40" s="1"/>
  <c r="L58" i="40"/>
  <c r="L29" i="40"/>
  <c r="M27" i="40"/>
  <c r="L35" i="40"/>
  <c r="K255" i="40"/>
  <c r="K234" i="40"/>
  <c r="K45" i="40"/>
  <c r="K44" i="40"/>
  <c r="K46" i="40" s="1"/>
  <c r="K100" i="40"/>
  <c r="K48" i="40"/>
  <c r="K47" i="40"/>
  <c r="K72" i="40"/>
  <c r="K77" i="40" s="1"/>
  <c r="K180" i="40"/>
  <c r="K189" i="40" s="1"/>
  <c r="K190" i="40" s="1"/>
  <c r="K254" i="40" s="1"/>
  <c r="K258" i="40" s="1"/>
  <c r="L177" i="40"/>
  <c r="Q121" i="40"/>
  <c r="J46" i="40"/>
  <c r="M124" i="40"/>
  <c r="M129" i="40" s="1"/>
  <c r="M138" i="40" s="1"/>
  <c r="L129" i="40"/>
  <c r="L138" i="40" s="1"/>
  <c r="K26" i="40"/>
  <c r="L24" i="40"/>
  <c r="M25" i="40"/>
  <c r="K165" i="40"/>
  <c r="K251" i="40" s="1"/>
  <c r="J165" i="40"/>
  <c r="J251" i="40" s="1"/>
  <c r="I69" i="40"/>
  <c r="I74" i="40" s="1"/>
  <c r="L136" i="39"/>
  <c r="M131" i="39"/>
  <c r="M136" i="39" s="1"/>
  <c r="L124" i="39"/>
  <c r="K129" i="39"/>
  <c r="K138" i="39" s="1"/>
  <c r="J114" i="39"/>
  <c r="I79" i="39"/>
  <c r="I70" i="39"/>
  <c r="I76" i="39"/>
  <c r="I75" i="39" s="1"/>
  <c r="K180" i="39"/>
  <c r="K189" i="39" s="1"/>
  <c r="L177" i="39"/>
  <c r="M266" i="39"/>
  <c r="M269" i="39" s="1"/>
  <c r="L269" i="39"/>
  <c r="K116" i="39"/>
  <c r="K121" i="39" s="1"/>
  <c r="K108" i="39"/>
  <c r="K104" i="39"/>
  <c r="K95" i="39"/>
  <c r="K105" i="39"/>
  <c r="K102" i="39"/>
  <c r="K96" i="39"/>
  <c r="K97" i="39"/>
  <c r="K32" i="39"/>
  <c r="K112" i="39" s="1"/>
  <c r="L57" i="39"/>
  <c r="M55" i="39"/>
  <c r="M57" i="39" s="1"/>
  <c r="L25" i="39"/>
  <c r="H140" i="39"/>
  <c r="K190" i="39"/>
  <c r="K254" i="39" s="1"/>
  <c r="L146" i="39"/>
  <c r="K152" i="39"/>
  <c r="J49" i="39"/>
  <c r="J53" i="39" s="1"/>
  <c r="J50" i="39" s="1"/>
  <c r="J31" i="39" s="1"/>
  <c r="J30" i="39" s="1"/>
  <c r="J52" i="39"/>
  <c r="L26" i="39"/>
  <c r="M24" i="39"/>
  <c r="K100" i="39"/>
  <c r="K45" i="39"/>
  <c r="K47" i="39"/>
  <c r="K44" i="39"/>
  <c r="K72" i="39"/>
  <c r="K77" i="39" s="1"/>
  <c r="K48" i="39"/>
  <c r="L36" i="39"/>
  <c r="M206" i="39"/>
  <c r="M217" i="39" s="1"/>
  <c r="M256" i="39" s="1"/>
  <c r="L217" i="39"/>
  <c r="L256" i="39" s="1"/>
  <c r="K153" i="39"/>
  <c r="K250" i="39" s="1"/>
  <c r="J190" i="39"/>
  <c r="J254" i="39" s="1"/>
  <c r="I190" i="39"/>
  <c r="I254" i="39" s="1"/>
  <c r="I258" i="39" s="1"/>
  <c r="K200" i="39"/>
  <c r="L195" i="39"/>
  <c r="J153" i="39"/>
  <c r="J250" i="39" s="1"/>
  <c r="K230" i="39"/>
  <c r="K257" i="39" s="1"/>
  <c r="L223" i="39"/>
  <c r="I69" i="39"/>
  <c r="I74" i="39" s="1"/>
  <c r="J98" i="39"/>
  <c r="J71" i="39"/>
  <c r="J99" i="39"/>
  <c r="K60" i="39"/>
  <c r="K64" i="39" s="1"/>
  <c r="K61" i="39" s="1"/>
  <c r="K63" i="39"/>
  <c r="L58" i="39"/>
  <c r="J255" i="39"/>
  <c r="J234" i="39"/>
  <c r="L164" i="39"/>
  <c r="M158" i="39"/>
  <c r="M164" i="39" s="1"/>
  <c r="I69" i="38"/>
  <c r="I74" i="38" s="1"/>
  <c r="J190" i="38"/>
  <c r="J254" i="38" s="1"/>
  <c r="J258" i="38" s="1"/>
  <c r="L180" i="38"/>
  <c r="M177" i="38"/>
  <c r="M180" i="38" s="1"/>
  <c r="J255" i="38"/>
  <c r="J234" i="38"/>
  <c r="L28" i="38"/>
  <c r="K29" i="38"/>
  <c r="K35" i="38"/>
  <c r="K129" i="38"/>
  <c r="K138" i="38" s="1"/>
  <c r="L124" i="38"/>
  <c r="K187" i="38"/>
  <c r="L182" i="38"/>
  <c r="K200" i="38"/>
  <c r="L195" i="38"/>
  <c r="K189" i="38"/>
  <c r="K190" i="38" s="1"/>
  <c r="K254" i="38" s="1"/>
  <c r="M266" i="38"/>
  <c r="M269" i="38" s="1"/>
  <c r="L269" i="38"/>
  <c r="K230" i="38"/>
  <c r="K257" i="38" s="1"/>
  <c r="L223" i="38"/>
  <c r="K105" i="38"/>
  <c r="K102" i="38"/>
  <c r="K104" i="38"/>
  <c r="K95" i="38"/>
  <c r="K116" i="38"/>
  <c r="K121" i="38" s="1"/>
  <c r="K108" i="38"/>
  <c r="K32" i="38"/>
  <c r="K112" i="38" s="1"/>
  <c r="K96" i="38"/>
  <c r="K97" i="38"/>
  <c r="J49" i="38"/>
  <c r="J52" i="38"/>
  <c r="P109" i="38"/>
  <c r="Q109" i="38" s="1"/>
  <c r="Q121" i="38" s="1"/>
  <c r="H140" i="38"/>
  <c r="H141" i="38" s="1"/>
  <c r="H249" i="38" s="1"/>
  <c r="H252" i="38" s="1"/>
  <c r="H260" i="38" s="1"/>
  <c r="H273" i="38" s="1"/>
  <c r="H274" i="38" s="1"/>
  <c r="M63" i="38"/>
  <c r="M60" i="38"/>
  <c r="M36" i="38"/>
  <c r="I258" i="38"/>
  <c r="K72" i="38"/>
  <c r="K77" i="38" s="1"/>
  <c r="K100" i="38"/>
  <c r="K47" i="38"/>
  <c r="K45" i="38"/>
  <c r="K48" i="38"/>
  <c r="K44" i="38"/>
  <c r="K46" i="38" s="1"/>
  <c r="M165" i="38"/>
  <c r="M251" i="38" s="1"/>
  <c r="L26" i="38"/>
  <c r="M24" i="38"/>
  <c r="L165" i="38"/>
  <c r="L251" i="38" s="1"/>
  <c r="L152" i="38"/>
  <c r="M146" i="38"/>
  <c r="M152" i="38" s="1"/>
  <c r="J46" i="38"/>
  <c r="M206" i="38"/>
  <c r="M217" i="38" s="1"/>
  <c r="M256" i="38" s="1"/>
  <c r="L217" i="38"/>
  <c r="L256" i="38" s="1"/>
  <c r="J114" i="38"/>
  <c r="I98" i="38"/>
  <c r="I99" i="38"/>
  <c r="I71" i="38"/>
  <c r="L57" i="38"/>
  <c r="L64" i="38" s="1"/>
  <c r="L61" i="38" s="1"/>
  <c r="M55" i="38"/>
  <c r="M57" i="38" s="1"/>
  <c r="I69" i="37"/>
  <c r="I74" i="37" s="1"/>
  <c r="I98" i="37"/>
  <c r="I99" i="37"/>
  <c r="I71" i="37"/>
  <c r="M182" i="37"/>
  <c r="M187" i="37" s="1"/>
  <c r="L187" i="37"/>
  <c r="L136" i="37"/>
  <c r="M131" i="37"/>
  <c r="M136" i="37" s="1"/>
  <c r="H99" i="37"/>
  <c r="H98" i="37"/>
  <c r="H71" i="37"/>
  <c r="J95" i="37"/>
  <c r="J105" i="37"/>
  <c r="J102" i="37"/>
  <c r="J97" i="37"/>
  <c r="J104" i="37"/>
  <c r="J96" i="37"/>
  <c r="J116" i="37"/>
  <c r="J121" i="37" s="1"/>
  <c r="J108" i="37"/>
  <c r="J32" i="37"/>
  <c r="J112" i="37" s="1"/>
  <c r="L146" i="37"/>
  <c r="K152" i="37"/>
  <c r="J49" i="37"/>
  <c r="J52" i="37"/>
  <c r="K189" i="37"/>
  <c r="I114" i="37"/>
  <c r="K100" i="37"/>
  <c r="K72" i="37"/>
  <c r="K77" i="37" s="1"/>
  <c r="K48" i="37"/>
  <c r="K44" i="37"/>
  <c r="K45" i="37"/>
  <c r="K47" i="37"/>
  <c r="M266" i="37"/>
  <c r="M269" i="37" s="1"/>
  <c r="L269" i="37"/>
  <c r="J46" i="37"/>
  <c r="K35" i="37"/>
  <c r="K29" i="37"/>
  <c r="L27" i="37"/>
  <c r="K200" i="37"/>
  <c r="L195" i="37"/>
  <c r="M63" i="37"/>
  <c r="M60" i="37"/>
  <c r="K230" i="37"/>
  <c r="K257" i="37" s="1"/>
  <c r="L223" i="37"/>
  <c r="L217" i="37"/>
  <c r="L256" i="37" s="1"/>
  <c r="M206" i="37"/>
  <c r="M217" i="37" s="1"/>
  <c r="M256" i="37" s="1"/>
  <c r="M177" i="37"/>
  <c r="M180" i="37" s="1"/>
  <c r="M189" i="37" s="1"/>
  <c r="L180" i="37"/>
  <c r="M55" i="37"/>
  <c r="M57" i="37" s="1"/>
  <c r="L57" i="37"/>
  <c r="L36" i="37"/>
  <c r="K164" i="37"/>
  <c r="L158" i="37"/>
  <c r="J255" i="37"/>
  <c r="J258" i="37" s="1"/>
  <c r="J234" i="37"/>
  <c r="K26" i="37"/>
  <c r="L24" i="37"/>
  <c r="M25" i="37"/>
  <c r="J165" i="37"/>
  <c r="J251" i="37" s="1"/>
  <c r="H53" i="37"/>
  <c r="H50" i="37" s="1"/>
  <c r="H31" i="37" s="1"/>
  <c r="H30" i="37" s="1"/>
  <c r="K129" i="37"/>
  <c r="K138" i="37" s="1"/>
  <c r="L124" i="37"/>
  <c r="M266" i="36"/>
  <c r="M269" i="36" s="1"/>
  <c r="L269" i="36"/>
  <c r="K29" i="36"/>
  <c r="L27" i="36"/>
  <c r="K35" i="36"/>
  <c r="L195" i="36"/>
  <c r="K200" i="36"/>
  <c r="K105" i="36"/>
  <c r="K102" i="36"/>
  <c r="K97" i="36"/>
  <c r="K116" i="36"/>
  <c r="K121" i="36" s="1"/>
  <c r="K32" i="36"/>
  <c r="K112" i="36" s="1"/>
  <c r="K96" i="36"/>
  <c r="K104" i="36"/>
  <c r="K108" i="36"/>
  <c r="K95" i="36"/>
  <c r="K72" i="36"/>
  <c r="K77" i="36" s="1"/>
  <c r="K48" i="36"/>
  <c r="K44" i="36"/>
  <c r="K45" i="36"/>
  <c r="K100" i="36"/>
  <c r="K47" i="36"/>
  <c r="M36" i="36"/>
  <c r="I53" i="36"/>
  <c r="I50" i="36" s="1"/>
  <c r="I31" i="36" s="1"/>
  <c r="I30" i="36" s="1"/>
  <c r="L164" i="36"/>
  <c r="M158" i="36"/>
  <c r="M164" i="36" s="1"/>
  <c r="K153" i="36"/>
  <c r="K250" i="36" s="1"/>
  <c r="J255" i="36"/>
  <c r="J258" i="36" s="1"/>
  <c r="J234" i="36"/>
  <c r="L217" i="36"/>
  <c r="L256" i="36" s="1"/>
  <c r="M206" i="36"/>
  <c r="M217" i="36" s="1"/>
  <c r="M256" i="36" s="1"/>
  <c r="M63" i="36"/>
  <c r="M60" i="36"/>
  <c r="P109" i="36"/>
  <c r="Q109" i="36" s="1"/>
  <c r="Q121" i="36" s="1"/>
  <c r="H140" i="36"/>
  <c r="H141" i="36" s="1"/>
  <c r="H249" i="36" s="1"/>
  <c r="H252" i="36" s="1"/>
  <c r="H260" i="36" s="1"/>
  <c r="H273" i="36" s="1"/>
  <c r="H274" i="36" s="1"/>
  <c r="J46" i="36"/>
  <c r="J49" i="36"/>
  <c r="J53" i="36" s="1"/>
  <c r="J50" i="36" s="1"/>
  <c r="J31" i="36" s="1"/>
  <c r="J30" i="36" s="1"/>
  <c r="J52" i="36"/>
  <c r="M223" i="36"/>
  <c r="M230" i="36" s="1"/>
  <c r="M257" i="36" s="1"/>
  <c r="L230" i="36"/>
  <c r="L257" i="36" s="1"/>
  <c r="L57" i="36"/>
  <c r="M55" i="36"/>
  <c r="M57" i="36" s="1"/>
  <c r="L187" i="36"/>
  <c r="L189" i="36" s="1"/>
  <c r="M182" i="36"/>
  <c r="M187" i="36" s="1"/>
  <c r="M189" i="36" s="1"/>
  <c r="L165" i="36"/>
  <c r="L251" i="36" s="1"/>
  <c r="K152" i="36"/>
  <c r="L146" i="36"/>
  <c r="K165" i="36"/>
  <c r="K251" i="36" s="1"/>
  <c r="L129" i="36"/>
  <c r="L138" i="36" s="1"/>
  <c r="M124" i="36"/>
  <c r="M129" i="36" s="1"/>
  <c r="M138" i="36" s="1"/>
  <c r="M24" i="36"/>
  <c r="L26" i="36"/>
  <c r="I99" i="36"/>
  <c r="I71" i="36"/>
  <c r="I98" i="36"/>
  <c r="J114" i="36"/>
  <c r="J14" i="60"/>
  <c r="I15" i="60"/>
  <c r="H18" i="3"/>
  <c r="I18" i="3" s="1"/>
  <c r="J18" i="3" s="1"/>
  <c r="K18" i="3" s="1"/>
  <c r="L18" i="3" s="1"/>
  <c r="M18" i="3" s="1"/>
  <c r="Q121" i="76" l="1"/>
  <c r="P109" i="44"/>
  <c r="Q109" i="44" s="1"/>
  <c r="Q121" i="44" s="1"/>
  <c r="M64" i="36"/>
  <c r="M61" i="36" s="1"/>
  <c r="K114" i="36"/>
  <c r="J46" i="41"/>
  <c r="L165" i="41"/>
  <c r="L251" i="41" s="1"/>
  <c r="J46" i="44"/>
  <c r="M165" i="44"/>
  <c r="M251" i="44" s="1"/>
  <c r="J114" i="50"/>
  <c r="M189" i="71"/>
  <c r="J114" i="72"/>
  <c r="L189" i="73"/>
  <c r="K53" i="74"/>
  <c r="K50" i="74" s="1"/>
  <c r="M165" i="75"/>
  <c r="M251" i="75" s="1"/>
  <c r="K46" i="75"/>
  <c r="L190" i="75"/>
  <c r="L254" i="75" s="1"/>
  <c r="L189" i="76"/>
  <c r="L35" i="39"/>
  <c r="L29" i="39"/>
  <c r="M27" i="39"/>
  <c r="M29" i="45"/>
  <c r="M35" i="45"/>
  <c r="M35" i="74"/>
  <c r="M29" i="74"/>
  <c r="L57" i="48"/>
  <c r="M55" i="48"/>
  <c r="M57" i="48" s="1"/>
  <c r="J46" i="47"/>
  <c r="K47" i="47"/>
  <c r="K44" i="47"/>
  <c r="K46" i="47" s="1"/>
  <c r="K48" i="47"/>
  <c r="K45" i="47"/>
  <c r="K100" i="47"/>
  <c r="K72" i="47"/>
  <c r="K77" i="47" s="1"/>
  <c r="M190" i="41"/>
  <c r="M254" i="41" s="1"/>
  <c r="K114" i="43"/>
  <c r="L138" i="43"/>
  <c r="K46" i="63"/>
  <c r="M189" i="70"/>
  <c r="J46" i="70"/>
  <c r="M46" i="74"/>
  <c r="J53" i="75"/>
  <c r="J50" i="75" s="1"/>
  <c r="J31" i="75" s="1"/>
  <c r="J30" i="75" s="1"/>
  <c r="M189" i="76"/>
  <c r="M47" i="45"/>
  <c r="M48" i="45"/>
  <c r="M72" i="45"/>
  <c r="M77" i="45" s="1"/>
  <c r="M44" i="45"/>
  <c r="M100" i="45"/>
  <c r="M45" i="45"/>
  <c r="I70" i="47"/>
  <c r="I79" i="47"/>
  <c r="I76" i="47"/>
  <c r="I75" i="47" s="1"/>
  <c r="K47" i="48"/>
  <c r="K72" i="48"/>
  <c r="K77" i="48" s="1"/>
  <c r="K48" i="48"/>
  <c r="K45" i="48"/>
  <c r="K100" i="48"/>
  <c r="K44" i="48"/>
  <c r="K46" i="48" s="1"/>
  <c r="J49" i="48"/>
  <c r="J53" i="48" s="1"/>
  <c r="J50" i="48" s="1"/>
  <c r="J31" i="48" s="1"/>
  <c r="J30" i="48" s="1"/>
  <c r="J52" i="48"/>
  <c r="J52" i="47"/>
  <c r="J49" i="47"/>
  <c r="J53" i="47" s="1"/>
  <c r="J50" i="47" s="1"/>
  <c r="J31" i="47" s="1"/>
  <c r="J30" i="47" s="1"/>
  <c r="M36" i="41"/>
  <c r="J98" i="45"/>
  <c r="J71" i="45"/>
  <c r="J99" i="45"/>
  <c r="L189" i="50"/>
  <c r="L48" i="45"/>
  <c r="L44" i="45"/>
  <c r="L100" i="45"/>
  <c r="L45" i="45"/>
  <c r="L47" i="45"/>
  <c r="L72" i="45"/>
  <c r="L77" i="45" s="1"/>
  <c r="M26" i="41"/>
  <c r="M36" i="47"/>
  <c r="K49" i="45"/>
  <c r="K53" i="45" s="1"/>
  <c r="K50" i="45" s="1"/>
  <c r="K52" i="45"/>
  <c r="M153" i="38"/>
  <c r="M250" i="38" s="1"/>
  <c r="M165" i="39"/>
  <c r="M251" i="39" s="1"/>
  <c r="I53" i="44"/>
  <c r="I50" i="44" s="1"/>
  <c r="I31" i="44" s="1"/>
  <c r="I30" i="44" s="1"/>
  <c r="L189" i="43"/>
  <c r="L190" i="43" s="1"/>
  <c r="L254" i="43" s="1"/>
  <c r="K258" i="72"/>
  <c r="L104" i="41"/>
  <c r="L102" i="41"/>
  <c r="L108" i="41"/>
  <c r="L32" i="41"/>
  <c r="L112" i="41" s="1"/>
  <c r="L97" i="41"/>
  <c r="L96" i="41"/>
  <c r="L116" i="41"/>
  <c r="L121" i="41" s="1"/>
  <c r="L105" i="41"/>
  <c r="L95" i="41"/>
  <c r="J99" i="48"/>
  <c r="J71" i="48"/>
  <c r="J98" i="48"/>
  <c r="L60" i="71"/>
  <c r="L63" i="71"/>
  <c r="M58" i="71"/>
  <c r="L57" i="47"/>
  <c r="M55" i="47"/>
  <c r="M57" i="47" s="1"/>
  <c r="H140" i="76"/>
  <c r="H141" i="76" s="1"/>
  <c r="H249" i="76" s="1"/>
  <c r="H252" i="76" s="1"/>
  <c r="H260" i="76" s="1"/>
  <c r="H273" i="76" s="1"/>
  <c r="H274" i="76" s="1"/>
  <c r="K46" i="76"/>
  <c r="K99" i="76" s="1"/>
  <c r="I74" i="76"/>
  <c r="I114" i="76"/>
  <c r="I102" i="76"/>
  <c r="K98" i="76"/>
  <c r="J69" i="76"/>
  <c r="K52" i="76"/>
  <c r="K49" i="76"/>
  <c r="L164" i="76"/>
  <c r="M158" i="76"/>
  <c r="M164" i="76" s="1"/>
  <c r="L200" i="76"/>
  <c r="M195" i="76"/>
  <c r="M200" i="76" s="1"/>
  <c r="K116" i="76"/>
  <c r="K121" i="76" s="1"/>
  <c r="K108" i="76"/>
  <c r="K104" i="76"/>
  <c r="K32" i="76"/>
  <c r="K112" i="76" s="1"/>
  <c r="K105" i="76"/>
  <c r="K97" i="76"/>
  <c r="K96" i="76"/>
  <c r="M100" i="76"/>
  <c r="M72" i="76"/>
  <c r="M77" i="76" s="1"/>
  <c r="M47" i="76"/>
  <c r="M48" i="76"/>
  <c r="M44" i="76"/>
  <c r="M45" i="76"/>
  <c r="M25" i="76"/>
  <c r="J258" i="76"/>
  <c r="L129" i="76"/>
  <c r="L138" i="76" s="1"/>
  <c r="M124" i="76"/>
  <c r="M129" i="76" s="1"/>
  <c r="M138" i="76" s="1"/>
  <c r="L165" i="76"/>
  <c r="L251" i="76" s="1"/>
  <c r="J79" i="76"/>
  <c r="J95" i="76" s="1"/>
  <c r="J76" i="76"/>
  <c r="J75" i="76" s="1"/>
  <c r="J70" i="76"/>
  <c r="K255" i="76"/>
  <c r="K234" i="76"/>
  <c r="L100" i="76"/>
  <c r="L72" i="76"/>
  <c r="L77" i="76" s="1"/>
  <c r="L47" i="76"/>
  <c r="L48" i="76"/>
  <c r="L44" i="76"/>
  <c r="L45" i="76"/>
  <c r="M29" i="76"/>
  <c r="M35" i="76"/>
  <c r="K258" i="76"/>
  <c r="M190" i="76"/>
  <c r="M254" i="76" s="1"/>
  <c r="L26" i="76"/>
  <c r="M24" i="76"/>
  <c r="L230" i="76"/>
  <c r="L257" i="76" s="1"/>
  <c r="M223" i="76"/>
  <c r="M230" i="76" s="1"/>
  <c r="M257" i="76" s="1"/>
  <c r="M153" i="76"/>
  <c r="M250" i="76" s="1"/>
  <c r="L190" i="76"/>
  <c r="L254" i="76" s="1"/>
  <c r="L63" i="76"/>
  <c r="L60" i="76"/>
  <c r="L64" i="76" s="1"/>
  <c r="L61" i="76" s="1"/>
  <c r="M58" i="76"/>
  <c r="J69" i="75"/>
  <c r="J74" i="75" s="1"/>
  <c r="L230" i="75"/>
  <c r="L257" i="75" s="1"/>
  <c r="M223" i="75"/>
  <c r="M230" i="75" s="1"/>
  <c r="M257" i="75" s="1"/>
  <c r="K52" i="75"/>
  <c r="K49" i="75"/>
  <c r="K53" i="75" s="1"/>
  <c r="K50" i="75" s="1"/>
  <c r="K31" i="75" s="1"/>
  <c r="K30" i="75" s="1"/>
  <c r="L63" i="75"/>
  <c r="L60" i="75"/>
  <c r="L64" i="75" s="1"/>
  <c r="L61" i="75" s="1"/>
  <c r="M58" i="75"/>
  <c r="M100" i="75"/>
  <c r="M72" i="75"/>
  <c r="M77" i="75" s="1"/>
  <c r="M47" i="75"/>
  <c r="M48" i="75"/>
  <c r="M44" i="75"/>
  <c r="M45" i="75"/>
  <c r="K116" i="75"/>
  <c r="K121" i="75" s="1"/>
  <c r="K108" i="75"/>
  <c r="K104" i="75"/>
  <c r="K96" i="75"/>
  <c r="K32" i="75"/>
  <c r="K112" i="75" s="1"/>
  <c r="K95" i="75"/>
  <c r="K102" i="75"/>
  <c r="K105" i="75"/>
  <c r="K97" i="75"/>
  <c r="K255" i="75"/>
  <c r="K258" i="75" s="1"/>
  <c r="K234" i="75"/>
  <c r="J114" i="75"/>
  <c r="L165" i="75"/>
  <c r="L251" i="75" s="1"/>
  <c r="L72" i="75"/>
  <c r="L77" i="75" s="1"/>
  <c r="L47" i="75"/>
  <c r="L100" i="75"/>
  <c r="L48" i="75"/>
  <c r="L44" i="75"/>
  <c r="L45" i="75"/>
  <c r="H141" i="75"/>
  <c r="H249" i="75" s="1"/>
  <c r="H252" i="75" s="1"/>
  <c r="H260" i="75" s="1"/>
  <c r="H273" i="75" s="1"/>
  <c r="H274" i="75" s="1"/>
  <c r="K99" i="75"/>
  <c r="K98" i="75"/>
  <c r="K71" i="75"/>
  <c r="M29" i="75"/>
  <c r="M35" i="75"/>
  <c r="J99" i="75"/>
  <c r="J71" i="75"/>
  <c r="J98" i="75"/>
  <c r="L152" i="75"/>
  <c r="M153" i="75" s="1"/>
  <c r="M250" i="75" s="1"/>
  <c r="M146" i="75"/>
  <c r="M152" i="75" s="1"/>
  <c r="M25" i="75"/>
  <c r="L200" i="75"/>
  <c r="M195" i="75"/>
  <c r="M200" i="75" s="1"/>
  <c r="L26" i="75"/>
  <c r="M24" i="75"/>
  <c r="M124" i="75"/>
  <c r="M129" i="75" s="1"/>
  <c r="M138" i="75" s="1"/>
  <c r="L129" i="75"/>
  <c r="L138" i="75" s="1"/>
  <c r="M190" i="74"/>
  <c r="M254" i="74" s="1"/>
  <c r="L190" i="74"/>
  <c r="L254" i="74" s="1"/>
  <c r="K108" i="74"/>
  <c r="K104" i="74"/>
  <c r="K96" i="74"/>
  <c r="K116" i="74"/>
  <c r="K121" i="74" s="1"/>
  <c r="K105" i="74"/>
  <c r="K102" i="74"/>
  <c r="K97" i="74"/>
  <c r="K95" i="74"/>
  <c r="K32" i="74"/>
  <c r="K112" i="74" s="1"/>
  <c r="K31" i="74"/>
  <c r="K30" i="74" s="1"/>
  <c r="L63" i="74"/>
  <c r="L60" i="74"/>
  <c r="L64" i="74" s="1"/>
  <c r="L61" i="74" s="1"/>
  <c r="M58" i="74"/>
  <c r="L52" i="74"/>
  <c r="L49" i="74"/>
  <c r="L53" i="74" s="1"/>
  <c r="L50" i="74" s="1"/>
  <c r="K98" i="74"/>
  <c r="K99" i="74"/>
  <c r="K71" i="74"/>
  <c r="M25" i="74"/>
  <c r="L26" i="74"/>
  <c r="M52" i="74"/>
  <c r="M49" i="74"/>
  <c r="M53" i="74" s="1"/>
  <c r="M50" i="74" s="1"/>
  <c r="K255" i="74"/>
  <c r="K258" i="74" s="1"/>
  <c r="K234" i="74"/>
  <c r="L200" i="74"/>
  <c r="M195" i="74"/>
  <c r="M200" i="74" s="1"/>
  <c r="L98" i="74"/>
  <c r="L71" i="74"/>
  <c r="L99" i="74"/>
  <c r="M165" i="74"/>
  <c r="M251" i="74" s="1"/>
  <c r="J69" i="74"/>
  <c r="J74" i="74" s="1"/>
  <c r="M98" i="74"/>
  <c r="M99" i="74"/>
  <c r="M71" i="74"/>
  <c r="J114" i="74"/>
  <c r="H141" i="74"/>
  <c r="H249" i="74" s="1"/>
  <c r="H252" i="74" s="1"/>
  <c r="H260" i="74" s="1"/>
  <c r="H273" i="74" s="1"/>
  <c r="H274" i="74" s="1"/>
  <c r="L165" i="74"/>
  <c r="L251" i="74" s="1"/>
  <c r="L63" i="73"/>
  <c r="L60" i="73"/>
  <c r="L64" i="73" s="1"/>
  <c r="L61" i="73" s="1"/>
  <c r="M58" i="73"/>
  <c r="L100" i="73"/>
  <c r="L72" i="73"/>
  <c r="L77" i="73" s="1"/>
  <c r="L48" i="73"/>
  <c r="L44" i="73"/>
  <c r="L45" i="73"/>
  <c r="L47" i="73"/>
  <c r="J69" i="73"/>
  <c r="J74" i="73" s="1"/>
  <c r="L164" i="73"/>
  <c r="M165" i="73" s="1"/>
  <c r="M251" i="73" s="1"/>
  <c r="M158" i="73"/>
  <c r="M164" i="73" s="1"/>
  <c r="M36" i="73"/>
  <c r="L200" i="73"/>
  <c r="M195" i="73"/>
  <c r="M200" i="73" s="1"/>
  <c r="L116" i="73"/>
  <c r="L121" i="73" s="1"/>
  <c r="L108" i="73"/>
  <c r="L104" i="73"/>
  <c r="L96" i="73"/>
  <c r="L105" i="73"/>
  <c r="L102" i="73"/>
  <c r="L97" i="73"/>
  <c r="L95" i="73"/>
  <c r="L32" i="73"/>
  <c r="L112" i="73" s="1"/>
  <c r="I79" i="73"/>
  <c r="I76" i="73"/>
  <c r="I75" i="73" s="1"/>
  <c r="I70" i="73"/>
  <c r="L136" i="73"/>
  <c r="L138" i="73" s="1"/>
  <c r="M131" i="73"/>
  <c r="M136" i="73" s="1"/>
  <c r="M138" i="73" s="1"/>
  <c r="M45" i="73"/>
  <c r="M48" i="73"/>
  <c r="M47" i="73"/>
  <c r="M100" i="73"/>
  <c r="M72" i="73"/>
  <c r="M77" i="73" s="1"/>
  <c r="M44" i="73"/>
  <c r="M46" i="73" s="1"/>
  <c r="K255" i="73"/>
  <c r="K234" i="73"/>
  <c r="K46" i="73"/>
  <c r="M189" i="73"/>
  <c r="M190" i="73" s="1"/>
  <c r="M254" i="73" s="1"/>
  <c r="J70" i="73"/>
  <c r="J76" i="73"/>
  <c r="J75" i="73" s="1"/>
  <c r="J79" i="73"/>
  <c r="H141" i="73"/>
  <c r="H249" i="73" s="1"/>
  <c r="H252" i="73" s="1"/>
  <c r="H260" i="73" s="1"/>
  <c r="H273" i="73" s="1"/>
  <c r="H274" i="73" s="1"/>
  <c r="L230" i="73"/>
  <c r="L257" i="73" s="1"/>
  <c r="M223" i="73"/>
  <c r="M230" i="73" s="1"/>
  <c r="M257" i="73" s="1"/>
  <c r="I69" i="73"/>
  <c r="I74" i="73" s="1"/>
  <c r="K52" i="73"/>
  <c r="K49" i="73"/>
  <c r="K53" i="73" s="1"/>
  <c r="K50" i="73" s="1"/>
  <c r="K31" i="73" s="1"/>
  <c r="K30" i="73" s="1"/>
  <c r="M35" i="73"/>
  <c r="M29" i="73"/>
  <c r="M26" i="73"/>
  <c r="L190" i="73"/>
  <c r="L254" i="73" s="1"/>
  <c r="K190" i="73"/>
  <c r="K254" i="73" s="1"/>
  <c r="M190" i="72"/>
  <c r="M254" i="72" s="1"/>
  <c r="L190" i="72"/>
  <c r="L254" i="72" s="1"/>
  <c r="L152" i="72"/>
  <c r="L153" i="72" s="1"/>
  <c r="L250" i="72" s="1"/>
  <c r="M146" i="72"/>
  <c r="M152" i="72" s="1"/>
  <c r="L63" i="72"/>
  <c r="L60" i="72"/>
  <c r="L64" i="72" s="1"/>
  <c r="L61" i="72" s="1"/>
  <c r="M58" i="72"/>
  <c r="M35" i="72"/>
  <c r="M29" i="72"/>
  <c r="K46" i="72"/>
  <c r="L26" i="72"/>
  <c r="M24" i="72"/>
  <c r="L72" i="72"/>
  <c r="L77" i="72" s="1"/>
  <c r="L48" i="72"/>
  <c r="L44" i="72"/>
  <c r="L100" i="72"/>
  <c r="L45" i="72"/>
  <c r="L47" i="72"/>
  <c r="M72" i="72"/>
  <c r="M77" i="72" s="1"/>
  <c r="M45" i="72"/>
  <c r="M48" i="72"/>
  <c r="M44" i="72"/>
  <c r="M100" i="72"/>
  <c r="M47" i="72"/>
  <c r="L136" i="72"/>
  <c r="M131" i="72"/>
  <c r="M136" i="72" s="1"/>
  <c r="J53" i="72"/>
  <c r="J50" i="72" s="1"/>
  <c r="J31" i="72" s="1"/>
  <c r="J30" i="72" s="1"/>
  <c r="I70" i="72"/>
  <c r="I76" i="72"/>
  <c r="I75" i="72" s="1"/>
  <c r="I79" i="72"/>
  <c r="M138" i="72"/>
  <c r="K116" i="72"/>
  <c r="K121" i="72" s="1"/>
  <c r="K108" i="72"/>
  <c r="K104" i="72"/>
  <c r="K96" i="72"/>
  <c r="K105" i="72"/>
  <c r="K102" i="72"/>
  <c r="K97" i="72"/>
  <c r="K32" i="72"/>
  <c r="K112" i="72" s="1"/>
  <c r="K95" i="72"/>
  <c r="L255" i="72"/>
  <c r="H141" i="72"/>
  <c r="H249" i="72" s="1"/>
  <c r="H252" i="72" s="1"/>
  <c r="H260" i="72" s="1"/>
  <c r="H273" i="72" s="1"/>
  <c r="H274" i="72" s="1"/>
  <c r="L230" i="72"/>
  <c r="L257" i="72" s="1"/>
  <c r="M223" i="72"/>
  <c r="M230" i="72" s="1"/>
  <c r="M257" i="72" s="1"/>
  <c r="K52" i="72"/>
  <c r="K49" i="72"/>
  <c r="K53" i="72" s="1"/>
  <c r="K50" i="72" s="1"/>
  <c r="K31" i="72" s="1"/>
  <c r="K30" i="72" s="1"/>
  <c r="M36" i="72"/>
  <c r="J99" i="72"/>
  <c r="J71" i="72"/>
  <c r="J98" i="72"/>
  <c r="K234" i="72"/>
  <c r="L138" i="72"/>
  <c r="K153" i="72"/>
  <c r="K250" i="72" s="1"/>
  <c r="M255" i="72"/>
  <c r="K52" i="71"/>
  <c r="K49" i="71"/>
  <c r="K53" i="71" s="1"/>
  <c r="K50" i="71" s="1"/>
  <c r="K31" i="71" s="1"/>
  <c r="K30" i="71" s="1"/>
  <c r="L100" i="71"/>
  <c r="L47" i="71"/>
  <c r="L44" i="71"/>
  <c r="L45" i="71"/>
  <c r="L72" i="71"/>
  <c r="L77" i="71" s="1"/>
  <c r="L48" i="71"/>
  <c r="K255" i="71"/>
  <c r="K234" i="71"/>
  <c r="J114" i="71"/>
  <c r="M36" i="71"/>
  <c r="L26" i="71"/>
  <c r="M24" i="71"/>
  <c r="L190" i="71"/>
  <c r="L254" i="71" s="1"/>
  <c r="K190" i="71"/>
  <c r="K254" i="71" s="1"/>
  <c r="K258" i="71" s="1"/>
  <c r="M153" i="71"/>
  <c r="M250" i="71" s="1"/>
  <c r="M100" i="71"/>
  <c r="M47" i="71"/>
  <c r="M72" i="71"/>
  <c r="M77" i="71" s="1"/>
  <c r="M44" i="71"/>
  <c r="M48" i="71"/>
  <c r="M45" i="71"/>
  <c r="K105" i="71"/>
  <c r="K102" i="71"/>
  <c r="K97" i="71"/>
  <c r="K95" i="71"/>
  <c r="K96" i="71"/>
  <c r="K104" i="71"/>
  <c r="K116" i="71"/>
  <c r="K121" i="71" s="1"/>
  <c r="K108" i="71"/>
  <c r="K32" i="71"/>
  <c r="K112" i="71" s="1"/>
  <c r="L64" i="71"/>
  <c r="L61" i="71" s="1"/>
  <c r="J79" i="71"/>
  <c r="J70" i="71"/>
  <c r="J76" i="71"/>
  <c r="J75" i="71" s="1"/>
  <c r="L230" i="71"/>
  <c r="L257" i="71" s="1"/>
  <c r="M223" i="71"/>
  <c r="M230" i="71" s="1"/>
  <c r="M257" i="71" s="1"/>
  <c r="K46" i="71"/>
  <c r="H141" i="71"/>
  <c r="H249" i="71" s="1"/>
  <c r="H252" i="71" s="1"/>
  <c r="H260" i="71" s="1"/>
  <c r="H273" i="71" s="1"/>
  <c r="H274" i="71" s="1"/>
  <c r="M190" i="71"/>
  <c r="M254" i="71" s="1"/>
  <c r="L200" i="71"/>
  <c r="M195" i="71"/>
  <c r="M200" i="71" s="1"/>
  <c r="M35" i="71"/>
  <c r="M29" i="71"/>
  <c r="K72" i="70"/>
  <c r="K77" i="70" s="1"/>
  <c r="K48" i="70"/>
  <c r="K44" i="70"/>
  <c r="K45" i="70"/>
  <c r="K100" i="70"/>
  <c r="K47" i="70"/>
  <c r="K64" i="70"/>
  <c r="K61" i="70" s="1"/>
  <c r="L200" i="70"/>
  <c r="M195" i="70"/>
  <c r="M200" i="70" s="1"/>
  <c r="L136" i="70"/>
  <c r="L138" i="70" s="1"/>
  <c r="M131" i="70"/>
  <c r="M136" i="70" s="1"/>
  <c r="M138" i="70" s="1"/>
  <c r="K255" i="70"/>
  <c r="K234" i="70"/>
  <c r="L164" i="70"/>
  <c r="M158" i="70"/>
  <c r="M164" i="70" s="1"/>
  <c r="J98" i="70"/>
  <c r="J71" i="70"/>
  <c r="J99" i="70"/>
  <c r="K114" i="70"/>
  <c r="K190" i="70"/>
  <c r="K254" i="70" s="1"/>
  <c r="K258" i="70" s="1"/>
  <c r="M63" i="70"/>
  <c r="M60" i="70"/>
  <c r="M26" i="70"/>
  <c r="L189" i="70"/>
  <c r="M190" i="70" s="1"/>
  <c r="M254" i="70" s="1"/>
  <c r="L165" i="70"/>
  <c r="L251" i="70" s="1"/>
  <c r="I76" i="70"/>
  <c r="I75" i="70" s="1"/>
  <c r="I79" i="70"/>
  <c r="I70" i="70"/>
  <c r="L57" i="70"/>
  <c r="M55" i="70"/>
  <c r="M57" i="70" s="1"/>
  <c r="I69" i="70"/>
  <c r="I74" i="70" s="1"/>
  <c r="L230" i="70"/>
  <c r="L257" i="70" s="1"/>
  <c r="M223" i="70"/>
  <c r="M230" i="70" s="1"/>
  <c r="M257" i="70" s="1"/>
  <c r="L64" i="70"/>
  <c r="L61" i="70" s="1"/>
  <c r="L116" i="70"/>
  <c r="L121" i="70" s="1"/>
  <c r="L108" i="70"/>
  <c r="L104" i="70"/>
  <c r="L96" i="70"/>
  <c r="L97" i="70"/>
  <c r="L95" i="70"/>
  <c r="L32" i="70"/>
  <c r="L112" i="70" s="1"/>
  <c r="L102" i="70"/>
  <c r="L105" i="70"/>
  <c r="P109" i="70"/>
  <c r="Q109" i="70" s="1"/>
  <c r="Q121" i="70" s="1"/>
  <c r="H140" i="70"/>
  <c r="L35" i="70"/>
  <c r="L29" i="70"/>
  <c r="M27" i="70"/>
  <c r="J52" i="70"/>
  <c r="J49" i="70"/>
  <c r="J53" i="70" s="1"/>
  <c r="J50" i="70" s="1"/>
  <c r="J31" i="70" s="1"/>
  <c r="J30" i="70" s="1"/>
  <c r="M56" i="69"/>
  <c r="M57" i="69" s="1"/>
  <c r="L57" i="69"/>
  <c r="L29" i="69"/>
  <c r="M27" i="69"/>
  <c r="L35" i="69"/>
  <c r="K108" i="69"/>
  <c r="K104" i="69"/>
  <c r="K96" i="69"/>
  <c r="K32" i="69"/>
  <c r="K112" i="69" s="1"/>
  <c r="K105" i="69"/>
  <c r="K102" i="69"/>
  <c r="K97" i="69"/>
  <c r="K116" i="69"/>
  <c r="K121" i="69" s="1"/>
  <c r="K95" i="69"/>
  <c r="J46" i="69"/>
  <c r="M190" i="69"/>
  <c r="M254" i="69" s="1"/>
  <c r="M153" i="69"/>
  <c r="M250" i="69" s="1"/>
  <c r="I69" i="69"/>
  <c r="I74" i="69" s="1"/>
  <c r="M25" i="69"/>
  <c r="L26" i="69"/>
  <c r="M195" i="69"/>
  <c r="M200" i="69" s="1"/>
  <c r="L200" i="69"/>
  <c r="J52" i="69"/>
  <c r="J49" i="69"/>
  <c r="J53" i="69" s="1"/>
  <c r="J50" i="69" s="1"/>
  <c r="J31" i="69" s="1"/>
  <c r="J30" i="69" s="1"/>
  <c r="L230" i="69"/>
  <c r="L257" i="69" s="1"/>
  <c r="M223" i="69"/>
  <c r="M230" i="69" s="1"/>
  <c r="M257" i="69" s="1"/>
  <c r="I98" i="69"/>
  <c r="I71" i="69"/>
  <c r="I99" i="69"/>
  <c r="P109" i="69"/>
  <c r="Q109" i="69" s="1"/>
  <c r="Q121" i="69" s="1"/>
  <c r="H140" i="69"/>
  <c r="L136" i="69"/>
  <c r="L138" i="69" s="1"/>
  <c r="M131" i="69"/>
  <c r="M136" i="69" s="1"/>
  <c r="M138" i="69" s="1"/>
  <c r="K100" i="69"/>
  <c r="K47" i="69"/>
  <c r="K44" i="69"/>
  <c r="K46" i="69" s="1"/>
  <c r="K72" i="69"/>
  <c r="K77" i="69" s="1"/>
  <c r="K48" i="69"/>
  <c r="K45" i="69"/>
  <c r="K255" i="69"/>
  <c r="K258" i="69" s="1"/>
  <c r="K234" i="69"/>
  <c r="J114" i="69"/>
  <c r="L63" i="69"/>
  <c r="L60" i="69"/>
  <c r="L64" i="69" s="1"/>
  <c r="L61" i="69" s="1"/>
  <c r="M58" i="69"/>
  <c r="J258" i="69"/>
  <c r="L138" i="63"/>
  <c r="M59" i="63"/>
  <c r="L63" i="63"/>
  <c r="L60" i="63"/>
  <c r="L64" i="63" s="1"/>
  <c r="L61" i="63" s="1"/>
  <c r="L72" i="63"/>
  <c r="L77" i="63" s="1"/>
  <c r="L48" i="63"/>
  <c r="L44" i="63"/>
  <c r="L46" i="63" s="1"/>
  <c r="L100" i="63"/>
  <c r="L47" i="63"/>
  <c r="L45" i="63"/>
  <c r="M35" i="63"/>
  <c r="M29" i="63"/>
  <c r="M36" i="63"/>
  <c r="K255" i="63"/>
  <c r="K258" i="63" s="1"/>
  <c r="K234" i="63"/>
  <c r="K116" i="63"/>
  <c r="K121" i="63" s="1"/>
  <c r="K108" i="63"/>
  <c r="K104" i="63"/>
  <c r="K96" i="63"/>
  <c r="K105" i="63"/>
  <c r="K102" i="63"/>
  <c r="K97" i="63"/>
  <c r="K95" i="63"/>
  <c r="K32" i="63"/>
  <c r="K112" i="63" s="1"/>
  <c r="M25" i="63"/>
  <c r="M45" i="63"/>
  <c r="M100" i="63"/>
  <c r="M47" i="63"/>
  <c r="M44" i="63"/>
  <c r="M72" i="63"/>
  <c r="M77" i="63" s="1"/>
  <c r="M48" i="63"/>
  <c r="J76" i="63"/>
  <c r="J75" i="63" s="1"/>
  <c r="J79" i="63"/>
  <c r="J70" i="63"/>
  <c r="L269" i="63"/>
  <c r="M266" i="63"/>
  <c r="M269" i="63" s="1"/>
  <c r="M158" i="63"/>
  <c r="M164" i="63" s="1"/>
  <c r="L164" i="63"/>
  <c r="M165" i="63" s="1"/>
  <c r="M251" i="63" s="1"/>
  <c r="L189" i="63"/>
  <c r="M153" i="63"/>
  <c r="M250" i="63" s="1"/>
  <c r="L136" i="63"/>
  <c r="M131" i="63"/>
  <c r="M136" i="63" s="1"/>
  <c r="L165" i="63"/>
  <c r="L251" i="63" s="1"/>
  <c r="M189" i="63"/>
  <c r="L153" i="63"/>
  <c r="L250" i="63" s="1"/>
  <c r="H141" i="63"/>
  <c r="H249" i="63" s="1"/>
  <c r="H252" i="63" s="1"/>
  <c r="H260" i="63" s="1"/>
  <c r="H273" i="63" s="1"/>
  <c r="H274" i="63" s="1"/>
  <c r="M138" i="63"/>
  <c r="L230" i="63"/>
  <c r="L257" i="63" s="1"/>
  <c r="M223" i="63"/>
  <c r="M230" i="63" s="1"/>
  <c r="M257" i="63" s="1"/>
  <c r="J69" i="63"/>
  <c r="J74" i="63" s="1"/>
  <c r="J114" i="63"/>
  <c r="L200" i="63"/>
  <c r="M195" i="63"/>
  <c r="M200" i="63" s="1"/>
  <c r="L26" i="63"/>
  <c r="M24" i="63"/>
  <c r="K98" i="63"/>
  <c r="K71" i="63"/>
  <c r="K99" i="63"/>
  <c r="K52" i="63"/>
  <c r="K49" i="63"/>
  <c r="K53" i="63" s="1"/>
  <c r="K50" i="63" s="1"/>
  <c r="K31" i="63" s="1"/>
  <c r="K30" i="63" s="1"/>
  <c r="K69" i="63" s="1"/>
  <c r="K74" i="63" s="1"/>
  <c r="M25" i="45"/>
  <c r="L26" i="45"/>
  <c r="M63" i="45"/>
  <c r="M60" i="45"/>
  <c r="M64" i="45" s="1"/>
  <c r="M61" i="45" s="1"/>
  <c r="J69" i="45"/>
  <c r="J74" i="45" s="1"/>
  <c r="K116" i="45"/>
  <c r="K121" i="45" s="1"/>
  <c r="K108" i="45"/>
  <c r="K104" i="45"/>
  <c r="K96" i="45"/>
  <c r="K105" i="45"/>
  <c r="K102" i="45"/>
  <c r="K95" i="45"/>
  <c r="K97" i="45"/>
  <c r="K32" i="45"/>
  <c r="K112" i="45" s="1"/>
  <c r="K31" i="45"/>
  <c r="K30" i="45" s="1"/>
  <c r="P109" i="45"/>
  <c r="Q109" i="45" s="1"/>
  <c r="Q121" i="45" s="1"/>
  <c r="H140" i="45"/>
  <c r="L230" i="45"/>
  <c r="L257" i="45" s="1"/>
  <c r="M223" i="45"/>
  <c r="M230" i="45" s="1"/>
  <c r="M257" i="45" s="1"/>
  <c r="K69" i="45"/>
  <c r="K74" i="45" s="1"/>
  <c r="L200" i="45"/>
  <c r="M195" i="45"/>
  <c r="M200" i="45" s="1"/>
  <c r="M165" i="45"/>
  <c r="M251" i="45" s="1"/>
  <c r="J114" i="45"/>
  <c r="L136" i="45"/>
  <c r="L138" i="45" s="1"/>
  <c r="M131" i="45"/>
  <c r="M136" i="45" s="1"/>
  <c r="M138" i="45" s="1"/>
  <c r="K255" i="45"/>
  <c r="K258" i="45" s="1"/>
  <c r="K234" i="45"/>
  <c r="K76" i="45"/>
  <c r="K75" i="45" s="1"/>
  <c r="K79" i="45"/>
  <c r="K70" i="45"/>
  <c r="L187" i="45"/>
  <c r="L189" i="45" s="1"/>
  <c r="L190" i="45" s="1"/>
  <c r="L254" i="45" s="1"/>
  <c r="M182" i="45"/>
  <c r="M187" i="45" s="1"/>
  <c r="M189" i="45" s="1"/>
  <c r="I98" i="46"/>
  <c r="I71" i="46"/>
  <c r="I99" i="46"/>
  <c r="J99" i="46"/>
  <c r="J71" i="46"/>
  <c r="J98" i="46"/>
  <c r="I53" i="46"/>
  <c r="I50" i="46" s="1"/>
  <c r="I31" i="46" s="1"/>
  <c r="I30" i="46" s="1"/>
  <c r="K190" i="46"/>
  <c r="K254" i="46" s="1"/>
  <c r="K258" i="46" s="1"/>
  <c r="M153" i="46"/>
  <c r="M250" i="46" s="1"/>
  <c r="K234" i="46"/>
  <c r="K100" i="46"/>
  <c r="K47" i="46"/>
  <c r="K44" i="46"/>
  <c r="K48" i="46"/>
  <c r="K45" i="46"/>
  <c r="K72" i="46"/>
  <c r="K77" i="46" s="1"/>
  <c r="L29" i="46"/>
  <c r="M27" i="46"/>
  <c r="L35" i="46"/>
  <c r="K108" i="46"/>
  <c r="K104" i="46"/>
  <c r="K96" i="46"/>
  <c r="K32" i="46"/>
  <c r="K112" i="46" s="1"/>
  <c r="K105" i="46"/>
  <c r="K102" i="46"/>
  <c r="K97" i="46"/>
  <c r="K116" i="46"/>
  <c r="K121" i="46" s="1"/>
  <c r="K95" i="46"/>
  <c r="J52" i="46"/>
  <c r="J49" i="46"/>
  <c r="J53" i="46" s="1"/>
  <c r="J50" i="46" s="1"/>
  <c r="J31" i="46" s="1"/>
  <c r="J30" i="46" s="1"/>
  <c r="L165" i="46"/>
  <c r="L251" i="46" s="1"/>
  <c r="M56" i="46"/>
  <c r="M57" i="46" s="1"/>
  <c r="L57" i="46"/>
  <c r="M25" i="46"/>
  <c r="L26" i="46"/>
  <c r="L255" i="46"/>
  <c r="J114" i="46"/>
  <c r="H141" i="46"/>
  <c r="H249" i="46" s="1"/>
  <c r="H252" i="46" s="1"/>
  <c r="H260" i="46" s="1"/>
  <c r="H273" i="46" s="1"/>
  <c r="H274" i="46" s="1"/>
  <c r="M131" i="46"/>
  <c r="M136" i="46" s="1"/>
  <c r="M138" i="46" s="1"/>
  <c r="L136" i="46"/>
  <c r="L138" i="46" s="1"/>
  <c r="L63" i="46"/>
  <c r="L60" i="46"/>
  <c r="M58" i="46"/>
  <c r="M177" i="46"/>
  <c r="M180" i="46" s="1"/>
  <c r="M189" i="46" s="1"/>
  <c r="L180" i="46"/>
  <c r="L189" i="46" s="1"/>
  <c r="L190" i="46" s="1"/>
  <c r="L254" i="46" s="1"/>
  <c r="L258" i="46" s="1"/>
  <c r="L153" i="46"/>
  <c r="L250" i="46" s="1"/>
  <c r="M255" i="46"/>
  <c r="L230" i="46"/>
  <c r="L257" i="46" s="1"/>
  <c r="M223" i="46"/>
  <c r="M230" i="46" s="1"/>
  <c r="M257" i="46" s="1"/>
  <c r="L230" i="47"/>
  <c r="L257" i="47" s="1"/>
  <c r="M223" i="47"/>
  <c r="M230" i="47" s="1"/>
  <c r="M257" i="47" s="1"/>
  <c r="M189" i="47"/>
  <c r="H141" i="47"/>
  <c r="H249" i="47" s="1"/>
  <c r="H252" i="47" s="1"/>
  <c r="H260" i="47" s="1"/>
  <c r="H273" i="47" s="1"/>
  <c r="H274" i="47" s="1"/>
  <c r="L35" i="47"/>
  <c r="L29" i="47"/>
  <c r="M27" i="47"/>
  <c r="K114" i="47"/>
  <c r="J258" i="47"/>
  <c r="L164" i="47"/>
  <c r="M165" i="47" s="1"/>
  <c r="M251" i="47" s="1"/>
  <c r="M158" i="47"/>
  <c r="M164" i="47" s="1"/>
  <c r="M26" i="47"/>
  <c r="L63" i="47"/>
  <c r="L60" i="47"/>
  <c r="L64" i="47" s="1"/>
  <c r="L61" i="47" s="1"/>
  <c r="M58" i="47"/>
  <c r="K165" i="47"/>
  <c r="K251" i="47" s="1"/>
  <c r="K255" i="47"/>
  <c r="K258" i="47" s="1"/>
  <c r="K234" i="47"/>
  <c r="J69" i="47"/>
  <c r="J74" i="47" s="1"/>
  <c r="L200" i="47"/>
  <c r="M195" i="47"/>
  <c r="M200" i="47" s="1"/>
  <c r="L136" i="47"/>
  <c r="L138" i="47" s="1"/>
  <c r="M131" i="47"/>
  <c r="M136" i="47" s="1"/>
  <c r="M138" i="47" s="1"/>
  <c r="L189" i="47"/>
  <c r="M190" i="47" s="1"/>
  <c r="M254" i="47" s="1"/>
  <c r="L190" i="47"/>
  <c r="L254" i="47" s="1"/>
  <c r="L116" i="47"/>
  <c r="L121" i="47" s="1"/>
  <c r="L114" i="47"/>
  <c r="L108" i="47"/>
  <c r="L104" i="47"/>
  <c r="L96" i="47"/>
  <c r="L105" i="47"/>
  <c r="L102" i="47"/>
  <c r="L97" i="47"/>
  <c r="L95" i="47"/>
  <c r="L32" i="47"/>
  <c r="L112" i="47" s="1"/>
  <c r="J69" i="48"/>
  <c r="J74" i="48" s="1"/>
  <c r="J114" i="48"/>
  <c r="L63" i="48"/>
  <c r="L60" i="48"/>
  <c r="L64" i="48" s="1"/>
  <c r="L61" i="48" s="1"/>
  <c r="M58" i="48"/>
  <c r="M177" i="48"/>
  <c r="M180" i="48" s="1"/>
  <c r="M189" i="48" s="1"/>
  <c r="L180" i="48"/>
  <c r="L189" i="48" s="1"/>
  <c r="M35" i="48"/>
  <c r="M29" i="48"/>
  <c r="L217" i="48"/>
  <c r="L256" i="48" s="1"/>
  <c r="M206" i="48"/>
  <c r="M217" i="48" s="1"/>
  <c r="M256" i="48" s="1"/>
  <c r="M25" i="48"/>
  <c r="K234" i="48"/>
  <c r="L255" i="48"/>
  <c r="L26" i="48"/>
  <c r="M24" i="48"/>
  <c r="L164" i="48"/>
  <c r="M158" i="48"/>
  <c r="M164" i="48" s="1"/>
  <c r="H141" i="48"/>
  <c r="H249" i="48" s="1"/>
  <c r="H252" i="48" s="1"/>
  <c r="H260" i="48" s="1"/>
  <c r="H273" i="48" s="1"/>
  <c r="H274" i="48" s="1"/>
  <c r="L190" i="48"/>
  <c r="L254" i="48" s="1"/>
  <c r="L258" i="48" s="1"/>
  <c r="M255" i="48"/>
  <c r="K165" i="48"/>
  <c r="K251" i="48" s="1"/>
  <c r="K190" i="48"/>
  <c r="K254" i="48" s="1"/>
  <c r="K258" i="48" s="1"/>
  <c r="K95" i="48"/>
  <c r="K116" i="48"/>
  <c r="K121" i="48" s="1"/>
  <c r="K108" i="48"/>
  <c r="K104" i="48"/>
  <c r="K96" i="48"/>
  <c r="K105" i="48"/>
  <c r="K102" i="48"/>
  <c r="K97" i="48"/>
  <c r="K32" i="48"/>
  <c r="K112" i="48" s="1"/>
  <c r="L63" i="49"/>
  <c r="L60" i="49"/>
  <c r="L64" i="49" s="1"/>
  <c r="L61" i="49" s="1"/>
  <c r="M58" i="49"/>
  <c r="K99" i="49"/>
  <c r="K98" i="49"/>
  <c r="K71" i="49"/>
  <c r="M224" i="49"/>
  <c r="M230" i="49" s="1"/>
  <c r="M257" i="49" s="1"/>
  <c r="L230" i="49"/>
  <c r="L257" i="49" s="1"/>
  <c r="M35" i="49"/>
  <c r="M29" i="49"/>
  <c r="M190" i="49"/>
  <c r="M254" i="49" s="1"/>
  <c r="L190" i="49"/>
  <c r="L254" i="49" s="1"/>
  <c r="M25" i="49"/>
  <c r="I76" i="49"/>
  <c r="I75" i="49" s="1"/>
  <c r="I79" i="49"/>
  <c r="I70" i="49"/>
  <c r="P109" i="49"/>
  <c r="Q109" i="49" s="1"/>
  <c r="Q121" i="49" s="1"/>
  <c r="H140" i="49"/>
  <c r="M36" i="49"/>
  <c r="J76" i="49"/>
  <c r="J75" i="49" s="1"/>
  <c r="J79" i="49"/>
  <c r="J70" i="49"/>
  <c r="L26" i="49"/>
  <c r="M24" i="49"/>
  <c r="L136" i="49"/>
  <c r="L138" i="49" s="1"/>
  <c r="M131" i="49"/>
  <c r="M136" i="49" s="1"/>
  <c r="K52" i="49"/>
  <c r="K49" i="49"/>
  <c r="K53" i="49" s="1"/>
  <c r="K50" i="49" s="1"/>
  <c r="K31" i="49" s="1"/>
  <c r="K30" i="49" s="1"/>
  <c r="I69" i="49"/>
  <c r="I74" i="49" s="1"/>
  <c r="L200" i="49"/>
  <c r="M195" i="49"/>
  <c r="M200" i="49" s="1"/>
  <c r="L100" i="49"/>
  <c r="L72" i="49"/>
  <c r="L77" i="49" s="1"/>
  <c r="L48" i="49"/>
  <c r="L44" i="49"/>
  <c r="L45" i="49"/>
  <c r="L47" i="49"/>
  <c r="K165" i="49"/>
  <c r="K251" i="49" s="1"/>
  <c r="J114" i="49"/>
  <c r="L164" i="49"/>
  <c r="M158" i="49"/>
  <c r="M164" i="49" s="1"/>
  <c r="M138" i="49"/>
  <c r="K95" i="49"/>
  <c r="K116" i="49"/>
  <c r="K121" i="49" s="1"/>
  <c r="K108" i="49"/>
  <c r="K104" i="49"/>
  <c r="K96" i="49"/>
  <c r="K105" i="49"/>
  <c r="K102" i="49"/>
  <c r="K97" i="49"/>
  <c r="K32" i="49"/>
  <c r="K112" i="49" s="1"/>
  <c r="K255" i="49"/>
  <c r="K258" i="49" s="1"/>
  <c r="K234" i="49"/>
  <c r="M100" i="49"/>
  <c r="M45" i="49"/>
  <c r="M47" i="49"/>
  <c r="M48" i="49"/>
  <c r="M44" i="49"/>
  <c r="M72" i="49"/>
  <c r="M77" i="49" s="1"/>
  <c r="H141" i="50"/>
  <c r="H249" i="50" s="1"/>
  <c r="H252" i="50" s="1"/>
  <c r="H260" i="50" s="1"/>
  <c r="H273" i="50" s="1"/>
  <c r="H274" i="50" s="1"/>
  <c r="K46" i="50"/>
  <c r="M35" i="50"/>
  <c r="M29" i="50"/>
  <c r="M100" i="50"/>
  <c r="M72" i="50"/>
  <c r="M77" i="50" s="1"/>
  <c r="M45" i="50"/>
  <c r="M47" i="50"/>
  <c r="M48" i="50"/>
  <c r="M44" i="50"/>
  <c r="M46" i="50" s="1"/>
  <c r="J98" i="50"/>
  <c r="J99" i="50"/>
  <c r="J71" i="50"/>
  <c r="J53" i="50"/>
  <c r="J50" i="50" s="1"/>
  <c r="J31" i="50" s="1"/>
  <c r="J30" i="50" s="1"/>
  <c r="L152" i="50"/>
  <c r="M146" i="50"/>
  <c r="M152" i="50" s="1"/>
  <c r="L190" i="50"/>
  <c r="L254" i="50" s="1"/>
  <c r="L100" i="50"/>
  <c r="L48" i="50"/>
  <c r="L44" i="50"/>
  <c r="L46" i="50" s="1"/>
  <c r="L72" i="50"/>
  <c r="L77" i="50" s="1"/>
  <c r="L45" i="50"/>
  <c r="L47" i="50"/>
  <c r="M189" i="50"/>
  <c r="M190" i="50" s="1"/>
  <c r="M254" i="50" s="1"/>
  <c r="K95" i="50"/>
  <c r="K116" i="50"/>
  <c r="K121" i="50" s="1"/>
  <c r="K114" i="50"/>
  <c r="K108" i="50"/>
  <c r="K104" i="50"/>
  <c r="K96" i="50"/>
  <c r="K97" i="50"/>
  <c r="K105" i="50"/>
  <c r="K102" i="50"/>
  <c r="K32" i="50"/>
  <c r="K112" i="50" s="1"/>
  <c r="L64" i="50"/>
  <c r="L61" i="50" s="1"/>
  <c r="L153" i="50"/>
  <c r="L250" i="50" s="1"/>
  <c r="K52" i="50"/>
  <c r="K49" i="50"/>
  <c r="L200" i="50"/>
  <c r="M195" i="50"/>
  <c r="M200" i="50" s="1"/>
  <c r="M138" i="50"/>
  <c r="L230" i="50"/>
  <c r="L257" i="50" s="1"/>
  <c r="M223" i="50"/>
  <c r="M230" i="50" s="1"/>
  <c r="M257" i="50" s="1"/>
  <c r="K255" i="50"/>
  <c r="K258" i="50" s="1"/>
  <c r="K234" i="50"/>
  <c r="J258" i="50"/>
  <c r="L26" i="50"/>
  <c r="M24" i="50"/>
  <c r="M36" i="50"/>
  <c r="M165" i="50"/>
  <c r="M251" i="50" s="1"/>
  <c r="I69" i="43"/>
  <c r="I74" i="43" s="1"/>
  <c r="L152" i="43"/>
  <c r="M153" i="43" s="1"/>
  <c r="M250" i="43" s="1"/>
  <c r="M146" i="43"/>
  <c r="M152" i="43" s="1"/>
  <c r="I98" i="43"/>
  <c r="I71" i="43"/>
  <c r="I99" i="43"/>
  <c r="J98" i="43"/>
  <c r="J99" i="43"/>
  <c r="J71" i="43"/>
  <c r="K190" i="43"/>
  <c r="K254" i="43" s="1"/>
  <c r="M165" i="43"/>
  <c r="M251" i="43" s="1"/>
  <c r="H107" i="43"/>
  <c r="H109" i="43" s="1"/>
  <c r="H69" i="43"/>
  <c r="H74" i="43" s="1"/>
  <c r="M189" i="43"/>
  <c r="M190" i="43" s="1"/>
  <c r="M254" i="43" s="1"/>
  <c r="L165" i="43"/>
  <c r="L251" i="43" s="1"/>
  <c r="H79" i="43"/>
  <c r="H76" i="43"/>
  <c r="H75" i="43" s="1"/>
  <c r="H70" i="43"/>
  <c r="L200" i="43"/>
  <c r="M195" i="43"/>
  <c r="M200" i="43" s="1"/>
  <c r="L230" i="43"/>
  <c r="L257" i="43" s="1"/>
  <c r="M223" i="43"/>
  <c r="M230" i="43" s="1"/>
  <c r="M257" i="43" s="1"/>
  <c r="K72" i="43"/>
  <c r="K77" i="43" s="1"/>
  <c r="K100" i="43"/>
  <c r="K48" i="43"/>
  <c r="K44" i="43"/>
  <c r="K45" i="43"/>
  <c r="K47" i="43"/>
  <c r="J52" i="43"/>
  <c r="J49" i="43"/>
  <c r="J53" i="43" s="1"/>
  <c r="J50" i="43" s="1"/>
  <c r="J31" i="43" s="1"/>
  <c r="J30" i="43" s="1"/>
  <c r="M26" i="43"/>
  <c r="L35" i="43"/>
  <c r="L29" i="43"/>
  <c r="M27" i="43"/>
  <c r="J258" i="43"/>
  <c r="K255" i="43"/>
  <c r="K234" i="43"/>
  <c r="L57" i="43"/>
  <c r="M55" i="43"/>
  <c r="M57" i="43" s="1"/>
  <c r="M138" i="43"/>
  <c r="L95" i="43"/>
  <c r="L116" i="43"/>
  <c r="L121" i="43" s="1"/>
  <c r="L108" i="43"/>
  <c r="L104" i="43"/>
  <c r="L96" i="43"/>
  <c r="L105" i="43"/>
  <c r="L102" i="43"/>
  <c r="L97" i="43"/>
  <c r="L32" i="43"/>
  <c r="L112" i="43" s="1"/>
  <c r="M63" i="43"/>
  <c r="M60" i="43"/>
  <c r="L57" i="44"/>
  <c r="M55" i="44"/>
  <c r="M57" i="44" s="1"/>
  <c r="M64" i="44" s="1"/>
  <c r="M61" i="44" s="1"/>
  <c r="L269" i="44"/>
  <c r="M266" i="44"/>
  <c r="M269" i="44" s="1"/>
  <c r="J114" i="44"/>
  <c r="I98" i="44"/>
  <c r="I71" i="44"/>
  <c r="I99" i="44"/>
  <c r="M153" i="44"/>
  <c r="M250" i="44" s="1"/>
  <c r="L200" i="44"/>
  <c r="M195" i="44"/>
  <c r="M200" i="44" s="1"/>
  <c r="K95" i="44"/>
  <c r="K104" i="44"/>
  <c r="K32" i="44"/>
  <c r="K112" i="44" s="1"/>
  <c r="K114" i="44"/>
  <c r="K108" i="44"/>
  <c r="K96" i="44"/>
  <c r="K116" i="44"/>
  <c r="K121" i="44" s="1"/>
  <c r="K105" i="44"/>
  <c r="K102" i="44"/>
  <c r="K97" i="44"/>
  <c r="J52" i="44"/>
  <c r="J49" i="44"/>
  <c r="J53" i="44" s="1"/>
  <c r="J50" i="44" s="1"/>
  <c r="J31" i="44" s="1"/>
  <c r="J30" i="44" s="1"/>
  <c r="L35" i="44"/>
  <c r="L29" i="44"/>
  <c r="M27" i="44"/>
  <c r="K72" i="44"/>
  <c r="K77" i="44" s="1"/>
  <c r="K48" i="44"/>
  <c r="K44" i="44"/>
  <c r="K46" i="44" s="1"/>
  <c r="K45" i="44"/>
  <c r="K100" i="44"/>
  <c r="K47" i="44"/>
  <c r="K64" i="44"/>
  <c r="K61" i="44" s="1"/>
  <c r="I69" i="44"/>
  <c r="I74" i="44" s="1"/>
  <c r="L26" i="44"/>
  <c r="M24" i="44"/>
  <c r="J98" i="44"/>
  <c r="J71" i="44"/>
  <c r="J99" i="44"/>
  <c r="K255" i="44"/>
  <c r="K258" i="44" s="1"/>
  <c r="K234" i="44"/>
  <c r="J69" i="42"/>
  <c r="J74" i="42" s="1"/>
  <c r="M52" i="42"/>
  <c r="M49" i="42"/>
  <c r="K79" i="42"/>
  <c r="K70" i="42"/>
  <c r="K76" i="42"/>
  <c r="K75" i="42" s="1"/>
  <c r="M36" i="42"/>
  <c r="J114" i="42"/>
  <c r="M153" i="42"/>
  <c r="M250" i="42" s="1"/>
  <c r="L153" i="42"/>
  <c r="L250" i="42" s="1"/>
  <c r="L26" i="42"/>
  <c r="M24" i="42"/>
  <c r="M46" i="42"/>
  <c r="L52" i="42"/>
  <c r="L49" i="42"/>
  <c r="K31" i="42"/>
  <c r="K30" i="42" s="1"/>
  <c r="K255" i="42"/>
  <c r="K258" i="42" s="1"/>
  <c r="K234" i="42"/>
  <c r="L164" i="42"/>
  <c r="M165" i="42" s="1"/>
  <c r="M251" i="42" s="1"/>
  <c r="M158" i="42"/>
  <c r="M164" i="42" s="1"/>
  <c r="L230" i="42"/>
  <c r="L257" i="42" s="1"/>
  <c r="M223" i="42"/>
  <c r="M230" i="42" s="1"/>
  <c r="M257" i="42" s="1"/>
  <c r="M138" i="42"/>
  <c r="J79" i="42"/>
  <c r="J76" i="42"/>
  <c r="J75" i="42" s="1"/>
  <c r="J70" i="42"/>
  <c r="H76" i="42"/>
  <c r="H75" i="42" s="1"/>
  <c r="H79" i="42"/>
  <c r="H70" i="42"/>
  <c r="L63" i="42"/>
  <c r="L60" i="42"/>
  <c r="L64" i="42" s="1"/>
  <c r="L61" i="42" s="1"/>
  <c r="M58" i="42"/>
  <c r="M131" i="42"/>
  <c r="M136" i="42" s="1"/>
  <c r="L136" i="42"/>
  <c r="L138" i="42" s="1"/>
  <c r="K105" i="42"/>
  <c r="K102" i="42"/>
  <c r="K97" i="42"/>
  <c r="K95" i="42"/>
  <c r="K108" i="42"/>
  <c r="K32" i="42"/>
  <c r="K112" i="42" s="1"/>
  <c r="K116" i="42"/>
  <c r="K121" i="42" s="1"/>
  <c r="K104" i="42"/>
  <c r="K96" i="42"/>
  <c r="K114" i="42"/>
  <c r="L46" i="42"/>
  <c r="L29" i="42"/>
  <c r="M27" i="42"/>
  <c r="L35" i="42"/>
  <c r="L200" i="42"/>
  <c r="M195" i="42"/>
  <c r="M200" i="42" s="1"/>
  <c r="H107" i="42"/>
  <c r="H109" i="42" s="1"/>
  <c r="H69" i="42"/>
  <c r="H74" i="42" s="1"/>
  <c r="J99" i="41"/>
  <c r="J98" i="41"/>
  <c r="J71" i="41"/>
  <c r="H141" i="41"/>
  <c r="H249" i="41" s="1"/>
  <c r="H252" i="41" s="1"/>
  <c r="H260" i="41" s="1"/>
  <c r="H273" i="41" s="1"/>
  <c r="H274" i="41" s="1"/>
  <c r="J52" i="41"/>
  <c r="J49" i="41"/>
  <c r="J53" i="41" s="1"/>
  <c r="J50" i="41" s="1"/>
  <c r="J31" i="41" s="1"/>
  <c r="J30" i="41" s="1"/>
  <c r="L190" i="41"/>
  <c r="L254" i="41" s="1"/>
  <c r="K100" i="41"/>
  <c r="K72" i="41"/>
  <c r="K77" i="41" s="1"/>
  <c r="K47" i="41"/>
  <c r="K44" i="41"/>
  <c r="K46" i="41" s="1"/>
  <c r="K48" i="41"/>
  <c r="K45" i="41"/>
  <c r="K64" i="41"/>
  <c r="K61" i="41" s="1"/>
  <c r="I70" i="41"/>
  <c r="I76" i="41"/>
  <c r="I75" i="41" s="1"/>
  <c r="I79" i="41"/>
  <c r="L57" i="41"/>
  <c r="M55" i="41"/>
  <c r="M57" i="41" s="1"/>
  <c r="K255" i="41"/>
  <c r="K258" i="41" s="1"/>
  <c r="K234" i="41"/>
  <c r="M224" i="41"/>
  <c r="M230" i="41" s="1"/>
  <c r="M257" i="41" s="1"/>
  <c r="L230" i="41"/>
  <c r="L257" i="41" s="1"/>
  <c r="L29" i="41"/>
  <c r="M27" i="41"/>
  <c r="L35" i="41"/>
  <c r="I69" i="41"/>
  <c r="I74" i="41" s="1"/>
  <c r="L200" i="41"/>
  <c r="M195" i="41"/>
  <c r="M200" i="41" s="1"/>
  <c r="L63" i="41"/>
  <c r="L60" i="41"/>
  <c r="M58" i="41"/>
  <c r="L129" i="41"/>
  <c r="L138" i="41" s="1"/>
  <c r="M124" i="41"/>
  <c r="M129" i="41" s="1"/>
  <c r="M138" i="41" s="1"/>
  <c r="L63" i="40"/>
  <c r="L60" i="40"/>
  <c r="L64" i="40" s="1"/>
  <c r="L61" i="40" s="1"/>
  <c r="M58" i="40"/>
  <c r="K99" i="40"/>
  <c r="K98" i="40"/>
  <c r="K71" i="40"/>
  <c r="L100" i="40"/>
  <c r="L72" i="40"/>
  <c r="L77" i="40" s="1"/>
  <c r="L47" i="40"/>
  <c r="L45" i="40"/>
  <c r="L48" i="40"/>
  <c r="L44" i="40"/>
  <c r="K95" i="40"/>
  <c r="K105" i="40"/>
  <c r="K102" i="40"/>
  <c r="K97" i="40"/>
  <c r="K116" i="40"/>
  <c r="K121" i="40" s="1"/>
  <c r="K104" i="40"/>
  <c r="K32" i="40"/>
  <c r="K112" i="40" s="1"/>
  <c r="K108" i="40"/>
  <c r="K96" i="40"/>
  <c r="J98" i="40"/>
  <c r="J71" i="40"/>
  <c r="J99" i="40"/>
  <c r="K52" i="40"/>
  <c r="K49" i="40"/>
  <c r="K53" i="40" s="1"/>
  <c r="K50" i="40" s="1"/>
  <c r="K31" i="40" s="1"/>
  <c r="K30" i="40" s="1"/>
  <c r="M29" i="40"/>
  <c r="M35" i="40"/>
  <c r="L255" i="40"/>
  <c r="L234" i="40"/>
  <c r="H141" i="40"/>
  <c r="H249" i="40" s="1"/>
  <c r="H252" i="40" s="1"/>
  <c r="H260" i="40" s="1"/>
  <c r="H273" i="40" s="1"/>
  <c r="H274" i="40" s="1"/>
  <c r="M100" i="40"/>
  <c r="M47" i="40"/>
  <c r="M48" i="40"/>
  <c r="M44" i="40"/>
  <c r="M72" i="40"/>
  <c r="M77" i="40" s="1"/>
  <c r="M45" i="40"/>
  <c r="L26" i="40"/>
  <c r="M24" i="40"/>
  <c r="M234" i="40"/>
  <c r="M255" i="40"/>
  <c r="L164" i="40"/>
  <c r="M165" i="40" s="1"/>
  <c r="M251" i="40" s="1"/>
  <c r="M158" i="40"/>
  <c r="M164" i="40" s="1"/>
  <c r="M177" i="40"/>
  <c r="M180" i="40" s="1"/>
  <c r="M189" i="40" s="1"/>
  <c r="L180" i="40"/>
  <c r="L189" i="40" s="1"/>
  <c r="M190" i="40" s="1"/>
  <c r="M254" i="40" s="1"/>
  <c r="M258" i="40" s="1"/>
  <c r="J53" i="40"/>
  <c r="J50" i="40" s="1"/>
  <c r="J31" i="40" s="1"/>
  <c r="J30" i="40" s="1"/>
  <c r="M36" i="40"/>
  <c r="J114" i="40"/>
  <c r="K52" i="39"/>
  <c r="K49" i="39"/>
  <c r="K53" i="39" s="1"/>
  <c r="K50" i="39" s="1"/>
  <c r="K31" i="39" s="1"/>
  <c r="K30" i="39" s="1"/>
  <c r="J69" i="39"/>
  <c r="J74" i="39" s="1"/>
  <c r="L63" i="39"/>
  <c r="L60" i="39"/>
  <c r="L64" i="39" s="1"/>
  <c r="L61" i="39" s="1"/>
  <c r="M58" i="39"/>
  <c r="J70" i="39"/>
  <c r="J76" i="39"/>
  <c r="J75" i="39" s="1"/>
  <c r="J79" i="39"/>
  <c r="K255" i="39"/>
  <c r="K258" i="39" s="1"/>
  <c r="K234" i="39"/>
  <c r="L165" i="39"/>
  <c r="L251" i="39" s="1"/>
  <c r="M47" i="39"/>
  <c r="M100" i="39"/>
  <c r="M72" i="39"/>
  <c r="M77" i="39" s="1"/>
  <c r="M45" i="39"/>
  <c r="M48" i="39"/>
  <c r="M44" i="39"/>
  <c r="M46" i="39" s="1"/>
  <c r="K114" i="39"/>
  <c r="L230" i="39"/>
  <c r="L257" i="39" s="1"/>
  <c r="M223" i="39"/>
  <c r="M230" i="39" s="1"/>
  <c r="M257" i="39" s="1"/>
  <c r="L200" i="39"/>
  <c r="M195" i="39"/>
  <c r="M200" i="39" s="1"/>
  <c r="L105" i="39"/>
  <c r="L102" i="39"/>
  <c r="L116" i="39"/>
  <c r="L121" i="39" s="1"/>
  <c r="L96" i="39"/>
  <c r="L32" i="39"/>
  <c r="L112" i="39" s="1"/>
  <c r="L108" i="39"/>
  <c r="L97" i="39"/>
  <c r="L104" i="39"/>
  <c r="L95" i="39"/>
  <c r="H141" i="39"/>
  <c r="H249" i="39" s="1"/>
  <c r="H252" i="39" s="1"/>
  <c r="H260" i="39" s="1"/>
  <c r="H273" i="39" s="1"/>
  <c r="H274" i="39" s="1"/>
  <c r="L100" i="39"/>
  <c r="L72" i="39"/>
  <c r="L77" i="39" s="1"/>
  <c r="L48" i="39"/>
  <c r="L44" i="39"/>
  <c r="L47" i="39"/>
  <c r="L45" i="39"/>
  <c r="M177" i="39"/>
  <c r="M180" i="39" s="1"/>
  <c r="M189" i="39" s="1"/>
  <c r="L180" i="39"/>
  <c r="L189" i="39" s="1"/>
  <c r="J258" i="39"/>
  <c r="M36" i="39"/>
  <c r="K46" i="39"/>
  <c r="M146" i="39"/>
  <c r="M152" i="39" s="1"/>
  <c r="L152" i="39"/>
  <c r="M25" i="39"/>
  <c r="L190" i="39"/>
  <c r="L254" i="39" s="1"/>
  <c r="L129" i="39"/>
  <c r="L138" i="39" s="1"/>
  <c r="M124" i="39"/>
  <c r="M129" i="39" s="1"/>
  <c r="M138" i="39" s="1"/>
  <c r="I76" i="38"/>
  <c r="I75" i="38" s="1"/>
  <c r="I79" i="38"/>
  <c r="I70" i="38"/>
  <c r="L153" i="38"/>
  <c r="L250" i="38" s="1"/>
  <c r="L105" i="38"/>
  <c r="L102" i="38"/>
  <c r="L95" i="38"/>
  <c r="L108" i="38"/>
  <c r="L96" i="38"/>
  <c r="L97" i="38"/>
  <c r="L32" i="38"/>
  <c r="L112" i="38" s="1"/>
  <c r="L116" i="38"/>
  <c r="L121" i="38" s="1"/>
  <c r="L104" i="38"/>
  <c r="K98" i="38"/>
  <c r="K71" i="38"/>
  <c r="K99" i="38"/>
  <c r="L200" i="38"/>
  <c r="M195" i="38"/>
  <c r="M200" i="38" s="1"/>
  <c r="M124" i="38"/>
  <c r="M129" i="38" s="1"/>
  <c r="M138" i="38" s="1"/>
  <c r="L129" i="38"/>
  <c r="L138" i="38" s="1"/>
  <c r="M28" i="38"/>
  <c r="L35" i="38"/>
  <c r="L29" i="38"/>
  <c r="M64" i="38"/>
  <c r="M61" i="38" s="1"/>
  <c r="K255" i="38"/>
  <c r="K258" i="38" s="1"/>
  <c r="K234" i="38"/>
  <c r="M100" i="38"/>
  <c r="M48" i="38"/>
  <c r="M44" i="38"/>
  <c r="M45" i="38"/>
  <c r="M72" i="38"/>
  <c r="M77" i="38" s="1"/>
  <c r="M47" i="38"/>
  <c r="J98" i="38"/>
  <c r="J71" i="38"/>
  <c r="J99" i="38"/>
  <c r="L100" i="38"/>
  <c r="L72" i="38"/>
  <c r="L77" i="38" s="1"/>
  <c r="L47" i="38"/>
  <c r="L48" i="38"/>
  <c r="L44" i="38"/>
  <c r="L45" i="38"/>
  <c r="J53" i="38"/>
  <c r="J50" i="38" s="1"/>
  <c r="J31" i="38" s="1"/>
  <c r="J30" i="38" s="1"/>
  <c r="L230" i="38"/>
  <c r="L257" i="38" s="1"/>
  <c r="M223" i="38"/>
  <c r="M230" i="38" s="1"/>
  <c r="M257" i="38" s="1"/>
  <c r="M182" i="38"/>
  <c r="M187" i="38" s="1"/>
  <c r="M189" i="38" s="1"/>
  <c r="L187" i="38"/>
  <c r="L189" i="38" s="1"/>
  <c r="M26" i="38"/>
  <c r="K52" i="38"/>
  <c r="K49" i="38"/>
  <c r="K53" i="38" s="1"/>
  <c r="K50" i="38" s="1"/>
  <c r="K31" i="38" s="1"/>
  <c r="K30" i="38" s="1"/>
  <c r="K114" i="38"/>
  <c r="L200" i="37"/>
  <c r="M195" i="37"/>
  <c r="M200" i="37" s="1"/>
  <c r="H107" i="37"/>
  <c r="H109" i="37" s="1"/>
  <c r="H69" i="37"/>
  <c r="H74" i="37" s="1"/>
  <c r="L164" i="37"/>
  <c r="L165" i="37" s="1"/>
  <c r="L251" i="37" s="1"/>
  <c r="M158" i="37"/>
  <c r="M164" i="37" s="1"/>
  <c r="L45" i="37"/>
  <c r="L100" i="37"/>
  <c r="L72" i="37"/>
  <c r="L77" i="37" s="1"/>
  <c r="L44" i="37"/>
  <c r="L47" i="37"/>
  <c r="L48" i="37"/>
  <c r="L230" i="37"/>
  <c r="L257" i="37" s="1"/>
  <c r="M223" i="37"/>
  <c r="M230" i="37" s="1"/>
  <c r="M257" i="37" s="1"/>
  <c r="M100" i="37"/>
  <c r="M47" i="37"/>
  <c r="M72" i="37"/>
  <c r="M77" i="37" s="1"/>
  <c r="M44" i="37"/>
  <c r="M48" i="37"/>
  <c r="M45" i="37"/>
  <c r="K165" i="37"/>
  <c r="K251" i="37" s="1"/>
  <c r="K255" i="37"/>
  <c r="K234" i="37"/>
  <c r="J99" i="37"/>
  <c r="J71" i="37"/>
  <c r="J98" i="37"/>
  <c r="K52" i="37"/>
  <c r="K49" i="37"/>
  <c r="K190" i="37"/>
  <c r="K254" i="37" s="1"/>
  <c r="K258" i="37" s="1"/>
  <c r="M146" i="37"/>
  <c r="M152" i="37" s="1"/>
  <c r="L152" i="37"/>
  <c r="J114" i="37"/>
  <c r="L129" i="37"/>
  <c r="L138" i="37" s="1"/>
  <c r="M124" i="37"/>
  <c r="M129" i="37" s="1"/>
  <c r="M138" i="37" s="1"/>
  <c r="L26" i="37"/>
  <c r="M24" i="37"/>
  <c r="M36" i="37"/>
  <c r="M64" i="37"/>
  <c r="M61" i="37" s="1"/>
  <c r="L35" i="37"/>
  <c r="L29" i="37"/>
  <c r="M27" i="37"/>
  <c r="K153" i="37"/>
  <c r="K250" i="37" s="1"/>
  <c r="I76" i="37"/>
  <c r="I75" i="37" s="1"/>
  <c r="I79" i="37"/>
  <c r="I70" i="37"/>
  <c r="K116" i="37"/>
  <c r="K121" i="37" s="1"/>
  <c r="K108" i="37"/>
  <c r="K104" i="37"/>
  <c r="K96" i="37"/>
  <c r="K105" i="37"/>
  <c r="K102" i="37"/>
  <c r="K95" i="37"/>
  <c r="K32" i="37"/>
  <c r="K112" i="37" s="1"/>
  <c r="K97" i="37"/>
  <c r="L189" i="37"/>
  <c r="M190" i="37" s="1"/>
  <c r="M254" i="37" s="1"/>
  <c r="K46" i="37"/>
  <c r="J53" i="37"/>
  <c r="J50" i="37" s="1"/>
  <c r="J31" i="37" s="1"/>
  <c r="J30" i="37" s="1"/>
  <c r="L64" i="37"/>
  <c r="L61" i="37" s="1"/>
  <c r="H76" i="37"/>
  <c r="H75" i="37" s="1"/>
  <c r="H79" i="37"/>
  <c r="H70" i="37"/>
  <c r="J69" i="36"/>
  <c r="J74" i="36" s="1"/>
  <c r="M190" i="36"/>
  <c r="M254" i="36" s="1"/>
  <c r="L190" i="36"/>
  <c r="L254" i="36" s="1"/>
  <c r="L45" i="36"/>
  <c r="L100" i="36"/>
  <c r="L48" i="36"/>
  <c r="L47" i="36"/>
  <c r="L44" i="36"/>
  <c r="L46" i="36" s="1"/>
  <c r="L72" i="36"/>
  <c r="L77" i="36" s="1"/>
  <c r="K52" i="36"/>
  <c r="K49" i="36"/>
  <c r="L35" i="36"/>
  <c r="L29" i="36"/>
  <c r="M27" i="36"/>
  <c r="I76" i="36"/>
  <c r="I75" i="36" s="1"/>
  <c r="I79" i="36"/>
  <c r="I70" i="36"/>
  <c r="M26" i="36"/>
  <c r="L64" i="36"/>
  <c r="L61" i="36" s="1"/>
  <c r="M165" i="36"/>
  <c r="M251" i="36" s="1"/>
  <c r="L200" i="36"/>
  <c r="M195" i="36"/>
  <c r="M200" i="36" s="1"/>
  <c r="L116" i="36"/>
  <c r="L121" i="36" s="1"/>
  <c r="L95" i="36"/>
  <c r="L104" i="36"/>
  <c r="L32" i="36"/>
  <c r="L112" i="36" s="1"/>
  <c r="L105" i="36"/>
  <c r="L102" i="36"/>
  <c r="L108" i="36"/>
  <c r="L96" i="36"/>
  <c r="L97" i="36"/>
  <c r="J98" i="36"/>
  <c r="J99" i="36"/>
  <c r="J71" i="36"/>
  <c r="K255" i="36"/>
  <c r="K258" i="36" s="1"/>
  <c r="K234" i="36"/>
  <c r="L152" i="36"/>
  <c r="M153" i="36" s="1"/>
  <c r="M250" i="36" s="1"/>
  <c r="M146" i="36"/>
  <c r="M152" i="36" s="1"/>
  <c r="M100" i="36"/>
  <c r="M47" i="36"/>
  <c r="M44" i="36"/>
  <c r="M48" i="36"/>
  <c r="M72" i="36"/>
  <c r="M77" i="36" s="1"/>
  <c r="M45" i="36"/>
  <c r="I69" i="36"/>
  <c r="I74" i="36" s="1"/>
  <c r="K46" i="36"/>
  <c r="J15" i="60"/>
  <c r="I16" i="60"/>
  <c r="M8" i="35"/>
  <c r="M46" i="37" l="1"/>
  <c r="K114" i="40"/>
  <c r="K46" i="43"/>
  <c r="L153" i="43"/>
  <c r="L250" i="43" s="1"/>
  <c r="K53" i="50"/>
  <c r="K50" i="50" s="1"/>
  <c r="K31" i="50" s="1"/>
  <c r="K30" i="50" s="1"/>
  <c r="M153" i="50"/>
  <c r="M250" i="50" s="1"/>
  <c r="M165" i="49"/>
  <c r="M251" i="49" s="1"/>
  <c r="M234" i="48"/>
  <c r="M46" i="63"/>
  <c r="K52" i="48"/>
  <c r="K49" i="48"/>
  <c r="K53" i="48" s="1"/>
  <c r="K50" i="48" s="1"/>
  <c r="K31" i="48" s="1"/>
  <c r="K30" i="48" s="1"/>
  <c r="K71" i="47"/>
  <c r="K98" i="47"/>
  <c r="K99" i="47"/>
  <c r="L48" i="48"/>
  <c r="L44" i="48"/>
  <c r="L100" i="48"/>
  <c r="L45" i="48"/>
  <c r="L72" i="48"/>
  <c r="L77" i="48" s="1"/>
  <c r="L47" i="48"/>
  <c r="L190" i="37"/>
  <c r="L254" i="37" s="1"/>
  <c r="M190" i="39"/>
  <c r="M254" i="39" s="1"/>
  <c r="L234" i="48"/>
  <c r="L190" i="70"/>
  <c r="L254" i="70" s="1"/>
  <c r="M234" i="72"/>
  <c r="L46" i="73"/>
  <c r="M46" i="75"/>
  <c r="M47" i="47"/>
  <c r="M72" i="47"/>
  <c r="M77" i="47" s="1"/>
  <c r="M44" i="47"/>
  <c r="M48" i="47"/>
  <c r="M45" i="47"/>
  <c r="M100" i="47"/>
  <c r="L46" i="45"/>
  <c r="M49" i="45"/>
  <c r="M52" i="45"/>
  <c r="K52" i="47"/>
  <c r="K49" i="47"/>
  <c r="K53" i="47" s="1"/>
  <c r="K50" i="47" s="1"/>
  <c r="K31" i="47" s="1"/>
  <c r="K30" i="47" s="1"/>
  <c r="M35" i="39"/>
  <c r="M29" i="39"/>
  <c r="M153" i="39"/>
  <c r="M250" i="39" s="1"/>
  <c r="L100" i="47"/>
  <c r="L45" i="47"/>
  <c r="L72" i="47"/>
  <c r="L77" i="47" s="1"/>
  <c r="L47" i="47"/>
  <c r="L48" i="47"/>
  <c r="L44" i="47"/>
  <c r="L46" i="47" s="1"/>
  <c r="L52" i="45"/>
  <c r="L49" i="45"/>
  <c r="L53" i="45" s="1"/>
  <c r="L50" i="45" s="1"/>
  <c r="M46" i="45"/>
  <c r="J98" i="47"/>
  <c r="J71" i="47"/>
  <c r="J99" i="47"/>
  <c r="M165" i="70"/>
  <c r="M251" i="70" s="1"/>
  <c r="M63" i="71"/>
  <c r="M60" i="71"/>
  <c r="M64" i="71" s="1"/>
  <c r="M61" i="71" s="1"/>
  <c r="J76" i="48"/>
  <c r="J75" i="48" s="1"/>
  <c r="J70" i="48"/>
  <c r="J79" i="48"/>
  <c r="L114" i="41"/>
  <c r="M95" i="41"/>
  <c r="M105" i="41"/>
  <c r="M108" i="41"/>
  <c r="M116" i="41"/>
  <c r="M121" i="41" s="1"/>
  <c r="M32" i="41"/>
  <c r="M112" i="41" s="1"/>
  <c r="M96" i="41"/>
  <c r="M104" i="41"/>
  <c r="M97" i="41"/>
  <c r="M102" i="41"/>
  <c r="J76" i="45"/>
  <c r="J75" i="45" s="1"/>
  <c r="J79" i="45"/>
  <c r="J70" i="45"/>
  <c r="K99" i="48"/>
  <c r="K98" i="48"/>
  <c r="K71" i="48"/>
  <c r="M44" i="48"/>
  <c r="M45" i="48"/>
  <c r="M72" i="48"/>
  <c r="M77" i="48" s="1"/>
  <c r="M100" i="48"/>
  <c r="M48" i="48"/>
  <c r="M47" i="48"/>
  <c r="K53" i="76"/>
  <c r="K50" i="76" s="1"/>
  <c r="K31" i="76" s="1"/>
  <c r="K30" i="76" s="1"/>
  <c r="K71" i="76"/>
  <c r="K79" i="76" s="1"/>
  <c r="K95" i="76" s="1"/>
  <c r="L46" i="76"/>
  <c r="L99" i="76" s="1"/>
  <c r="M46" i="76"/>
  <c r="M71" i="76" s="1"/>
  <c r="J74" i="76"/>
  <c r="J114" i="76"/>
  <c r="J102" i="76"/>
  <c r="L105" i="76"/>
  <c r="L95" i="76"/>
  <c r="L116" i="76"/>
  <c r="L121" i="76" s="1"/>
  <c r="L32" i="76"/>
  <c r="L112" i="76" s="1"/>
  <c r="L104" i="76"/>
  <c r="L97" i="76"/>
  <c r="L96" i="76"/>
  <c r="L108" i="76"/>
  <c r="M52" i="76"/>
  <c r="M49" i="76"/>
  <c r="M63" i="76"/>
  <c r="M60" i="76"/>
  <c r="M64" i="76" s="1"/>
  <c r="M61" i="76" s="1"/>
  <c r="M165" i="76"/>
  <c r="M251" i="76" s="1"/>
  <c r="K70" i="76"/>
  <c r="K76" i="76"/>
  <c r="K75" i="76" s="1"/>
  <c r="L52" i="76"/>
  <c r="L49" i="76"/>
  <c r="M234" i="76"/>
  <c r="M255" i="76"/>
  <c r="M258" i="76" s="1"/>
  <c r="M26" i="76"/>
  <c r="L255" i="76"/>
  <c r="L258" i="76" s="1"/>
  <c r="L234" i="76"/>
  <c r="M26" i="75"/>
  <c r="K69" i="75"/>
  <c r="K74" i="75" s="1"/>
  <c r="L105" i="75"/>
  <c r="L102" i="75"/>
  <c r="L97" i="75"/>
  <c r="L108" i="75"/>
  <c r="L96" i="75"/>
  <c r="L32" i="75"/>
  <c r="L112" i="75" s="1"/>
  <c r="L116" i="75"/>
  <c r="L121" i="75" s="1"/>
  <c r="L95" i="75"/>
  <c r="L104" i="75"/>
  <c r="L49" i="75"/>
  <c r="L52" i="75"/>
  <c r="M52" i="75"/>
  <c r="M49" i="75"/>
  <c r="M53" i="75" s="1"/>
  <c r="M50" i="75" s="1"/>
  <c r="L255" i="75"/>
  <c r="L258" i="75" s="1"/>
  <c r="L234" i="75"/>
  <c r="L153" i="75"/>
  <c r="L250" i="75" s="1"/>
  <c r="M63" i="75"/>
  <c r="M60" i="75"/>
  <c r="M64" i="75" s="1"/>
  <c r="M61" i="75" s="1"/>
  <c r="J76" i="75"/>
  <c r="J75" i="75" s="1"/>
  <c r="J79" i="75"/>
  <c r="J70" i="75"/>
  <c r="L46" i="75"/>
  <c r="K114" i="75"/>
  <c r="M234" i="75"/>
  <c r="M255" i="75"/>
  <c r="M258" i="75" s="1"/>
  <c r="K76" i="75"/>
  <c r="K75" i="75" s="1"/>
  <c r="K79" i="75"/>
  <c r="K70" i="75"/>
  <c r="M98" i="75"/>
  <c r="M71" i="75"/>
  <c r="M99" i="75"/>
  <c r="L116" i="74"/>
  <c r="L121" i="74" s="1"/>
  <c r="L105" i="74"/>
  <c r="L102" i="74"/>
  <c r="L97" i="74"/>
  <c r="L114" i="74"/>
  <c r="L108" i="74"/>
  <c r="L96" i="74"/>
  <c r="L32" i="74"/>
  <c r="L112" i="74" s="1"/>
  <c r="L104" i="74"/>
  <c r="L95" i="74"/>
  <c r="L31" i="74"/>
  <c r="L30" i="74" s="1"/>
  <c r="K76" i="74"/>
  <c r="K75" i="74" s="1"/>
  <c r="K79" i="74"/>
  <c r="K70" i="74"/>
  <c r="K114" i="74"/>
  <c r="L234" i="74"/>
  <c r="L255" i="74"/>
  <c r="L258" i="74" s="1"/>
  <c r="M26" i="74"/>
  <c r="M60" i="74"/>
  <c r="M64" i="74" s="1"/>
  <c r="M61" i="74" s="1"/>
  <c r="M63" i="74"/>
  <c r="K69" i="74"/>
  <c r="K74" i="74" s="1"/>
  <c r="M255" i="74"/>
  <c r="M258" i="74" s="1"/>
  <c r="M234" i="74"/>
  <c r="M70" i="74"/>
  <c r="M76" i="74"/>
  <c r="M75" i="74" s="1"/>
  <c r="L70" i="74"/>
  <c r="L76" i="74"/>
  <c r="L75" i="74" s="1"/>
  <c r="L98" i="73"/>
  <c r="L71" i="73"/>
  <c r="L99" i="73"/>
  <c r="M60" i="73"/>
  <c r="M64" i="73" s="1"/>
  <c r="M61" i="73" s="1"/>
  <c r="M63" i="73"/>
  <c r="K258" i="73"/>
  <c r="K99" i="73"/>
  <c r="K71" i="73"/>
  <c r="K98" i="73"/>
  <c r="L165" i="73"/>
  <c r="L251" i="73" s="1"/>
  <c r="M52" i="73"/>
  <c r="M49" i="73"/>
  <c r="M53" i="73" s="1"/>
  <c r="M50" i="73" s="1"/>
  <c r="M234" i="73"/>
  <c r="M255" i="73"/>
  <c r="M258" i="73" s="1"/>
  <c r="K69" i="73"/>
  <c r="K74" i="73" s="1"/>
  <c r="M98" i="73"/>
  <c r="M99" i="73"/>
  <c r="M71" i="73"/>
  <c r="L255" i="73"/>
  <c r="L258" i="73" s="1"/>
  <c r="L234" i="73"/>
  <c r="L49" i="73"/>
  <c r="L53" i="73" s="1"/>
  <c r="L50" i="73" s="1"/>
  <c r="L31" i="73" s="1"/>
  <c r="L30" i="73" s="1"/>
  <c r="L52" i="73"/>
  <c r="M105" i="73"/>
  <c r="M102" i="73"/>
  <c r="M97" i="73"/>
  <c r="M95" i="73"/>
  <c r="M116" i="73"/>
  <c r="M121" i="73" s="1"/>
  <c r="M108" i="73"/>
  <c r="M104" i="73"/>
  <c r="M96" i="73"/>
  <c r="M32" i="73"/>
  <c r="M112" i="73" s="1"/>
  <c r="L114" i="73"/>
  <c r="K114" i="72"/>
  <c r="J69" i="72"/>
  <c r="J74" i="72" s="1"/>
  <c r="L46" i="72"/>
  <c r="L116" i="72"/>
  <c r="L121" i="72" s="1"/>
  <c r="L105" i="72"/>
  <c r="L102" i="72"/>
  <c r="L97" i="72"/>
  <c r="L95" i="72"/>
  <c r="L104" i="72"/>
  <c r="L108" i="72"/>
  <c r="L96" i="72"/>
  <c r="L32" i="72"/>
  <c r="L112" i="72" s="1"/>
  <c r="K99" i="72"/>
  <c r="K71" i="72"/>
  <c r="K98" i="72"/>
  <c r="M63" i="72"/>
  <c r="M60" i="72"/>
  <c r="M64" i="72" s="1"/>
  <c r="M61" i="72" s="1"/>
  <c r="M153" i="72"/>
  <c r="M250" i="72" s="1"/>
  <c r="J76" i="72"/>
  <c r="J75" i="72" s="1"/>
  <c r="J70" i="72"/>
  <c r="J79" i="72"/>
  <c r="M52" i="72"/>
  <c r="M49" i="72"/>
  <c r="M53" i="72" s="1"/>
  <c r="M50" i="72" s="1"/>
  <c r="M31" i="72" s="1"/>
  <c r="M30" i="72" s="1"/>
  <c r="M69" i="72" s="1"/>
  <c r="M74" i="72" s="1"/>
  <c r="L234" i="72"/>
  <c r="M46" i="72"/>
  <c r="L52" i="72"/>
  <c r="L49" i="72"/>
  <c r="L53" i="72" s="1"/>
  <c r="L50" i="72" s="1"/>
  <c r="L31" i="72" s="1"/>
  <c r="L30" i="72" s="1"/>
  <c r="L258" i="72"/>
  <c r="K69" i="72"/>
  <c r="K74" i="72" s="1"/>
  <c r="M26" i="72"/>
  <c r="M258" i="72"/>
  <c r="K69" i="71"/>
  <c r="K74" i="71" s="1"/>
  <c r="L255" i="71"/>
  <c r="L234" i="71"/>
  <c r="M26" i="71"/>
  <c r="K98" i="71"/>
  <c r="K99" i="71"/>
  <c r="K71" i="71"/>
  <c r="K114" i="71"/>
  <c r="M46" i="71"/>
  <c r="L95" i="71"/>
  <c r="L116" i="71"/>
  <c r="L121" i="71" s="1"/>
  <c r="L108" i="71"/>
  <c r="L104" i="71"/>
  <c r="L96" i="71"/>
  <c r="L102" i="71"/>
  <c r="L97" i="71"/>
  <c r="L32" i="71"/>
  <c r="L112" i="71" s="1"/>
  <c r="L105" i="71"/>
  <c r="L46" i="71"/>
  <c r="L52" i="71"/>
  <c r="L49" i="71"/>
  <c r="L53" i="71" s="1"/>
  <c r="L50" i="71" s="1"/>
  <c r="L31" i="71" s="1"/>
  <c r="L30" i="71" s="1"/>
  <c r="M234" i="71"/>
  <c r="M255" i="71"/>
  <c r="M258" i="71" s="1"/>
  <c r="M49" i="71"/>
  <c r="M53" i="71" s="1"/>
  <c r="M50" i="71" s="1"/>
  <c r="M52" i="71"/>
  <c r="L258" i="71"/>
  <c r="M64" i="70"/>
  <c r="M61" i="70" s="1"/>
  <c r="K46" i="70"/>
  <c r="M29" i="70"/>
  <c r="M35" i="70"/>
  <c r="L255" i="70"/>
  <c r="L258" i="70" s="1"/>
  <c r="L234" i="70"/>
  <c r="J69" i="70"/>
  <c r="J74" i="70" s="1"/>
  <c r="L114" i="70"/>
  <c r="M47" i="70"/>
  <c r="M100" i="70"/>
  <c r="M48" i="70"/>
  <c r="M44" i="70"/>
  <c r="M72" i="70"/>
  <c r="M77" i="70" s="1"/>
  <c r="M45" i="70"/>
  <c r="K52" i="70"/>
  <c r="K49" i="70"/>
  <c r="K53" i="70" s="1"/>
  <c r="K50" i="70" s="1"/>
  <c r="K31" i="70" s="1"/>
  <c r="K30" i="70" s="1"/>
  <c r="H141" i="70"/>
  <c r="H249" i="70" s="1"/>
  <c r="H252" i="70" s="1"/>
  <c r="H260" i="70" s="1"/>
  <c r="H273" i="70" s="1"/>
  <c r="H274" i="70" s="1"/>
  <c r="L100" i="70"/>
  <c r="L72" i="70"/>
  <c r="L77" i="70" s="1"/>
  <c r="L45" i="70"/>
  <c r="L47" i="70"/>
  <c r="L48" i="70"/>
  <c r="L44" i="70"/>
  <c r="L46" i="70" s="1"/>
  <c r="M105" i="70"/>
  <c r="M102" i="70"/>
  <c r="M97" i="70"/>
  <c r="M95" i="70"/>
  <c r="M116" i="70"/>
  <c r="M121" i="70" s="1"/>
  <c r="M114" i="70"/>
  <c r="M108" i="70"/>
  <c r="M96" i="70"/>
  <c r="M32" i="70"/>
  <c r="M112" i="70" s="1"/>
  <c r="M104" i="70"/>
  <c r="J76" i="70"/>
  <c r="J75" i="70" s="1"/>
  <c r="J79" i="70"/>
  <c r="J70" i="70"/>
  <c r="M234" i="70"/>
  <c r="M255" i="70"/>
  <c r="M258" i="70" s="1"/>
  <c r="M26" i="69"/>
  <c r="M63" i="69"/>
  <c r="M60" i="69"/>
  <c r="M64" i="69" s="1"/>
  <c r="M61" i="69" s="1"/>
  <c r="M234" i="69"/>
  <c r="M255" i="69"/>
  <c r="M258" i="69" s="1"/>
  <c r="J99" i="69"/>
  <c r="J98" i="69"/>
  <c r="J71" i="69"/>
  <c r="K114" i="69"/>
  <c r="L255" i="69"/>
  <c r="L258" i="69" s="1"/>
  <c r="L234" i="69"/>
  <c r="K98" i="69"/>
  <c r="K99" i="69"/>
  <c r="K71" i="69"/>
  <c r="I70" i="69"/>
  <c r="I79" i="69"/>
  <c r="I76" i="69"/>
  <c r="I75" i="69" s="1"/>
  <c r="J69" i="69"/>
  <c r="J74" i="69" s="1"/>
  <c r="L116" i="69"/>
  <c r="L121" i="69" s="1"/>
  <c r="L105" i="69"/>
  <c r="L102" i="69"/>
  <c r="L97" i="69"/>
  <c r="L104" i="69"/>
  <c r="L32" i="69"/>
  <c r="L112" i="69" s="1"/>
  <c r="L95" i="69"/>
  <c r="L108" i="69"/>
  <c r="L96" i="69"/>
  <c r="L47" i="69"/>
  <c r="L72" i="69"/>
  <c r="L77" i="69" s="1"/>
  <c r="L48" i="69"/>
  <c r="L44" i="69"/>
  <c r="L45" i="69"/>
  <c r="L100" i="69"/>
  <c r="K49" i="69"/>
  <c r="K53" i="69" s="1"/>
  <c r="K50" i="69" s="1"/>
  <c r="K31" i="69" s="1"/>
  <c r="K30" i="69" s="1"/>
  <c r="K52" i="69"/>
  <c r="H141" i="69"/>
  <c r="H249" i="69" s="1"/>
  <c r="H252" i="69" s="1"/>
  <c r="H260" i="69" s="1"/>
  <c r="H273" i="69" s="1"/>
  <c r="H274" i="69" s="1"/>
  <c r="M35" i="69"/>
  <c r="M29" i="69"/>
  <c r="M72" i="69"/>
  <c r="M77" i="69" s="1"/>
  <c r="M48" i="69"/>
  <c r="M44" i="69"/>
  <c r="M46" i="69" s="1"/>
  <c r="M45" i="69"/>
  <c r="M100" i="69"/>
  <c r="M47" i="69"/>
  <c r="L255" i="63"/>
  <c r="L234" i="63"/>
  <c r="L116" i="63"/>
  <c r="L121" i="63" s="1"/>
  <c r="L108" i="63"/>
  <c r="L104" i="63"/>
  <c r="L105" i="63"/>
  <c r="L102" i="63"/>
  <c r="L97" i="63"/>
  <c r="L96" i="63"/>
  <c r="L32" i="63"/>
  <c r="L112" i="63" s="1"/>
  <c r="L95" i="63"/>
  <c r="L98" i="63"/>
  <c r="L71" i="63"/>
  <c r="L99" i="63"/>
  <c r="M234" i="63"/>
  <c r="M255" i="63"/>
  <c r="M190" i="63"/>
  <c r="M254" i="63" s="1"/>
  <c r="M258" i="63" s="1"/>
  <c r="L190" i="63"/>
  <c r="L254" i="63" s="1"/>
  <c r="L258" i="63" s="1"/>
  <c r="K114" i="63"/>
  <c r="M60" i="63"/>
  <c r="M64" i="63" s="1"/>
  <c r="M61" i="63" s="1"/>
  <c r="M63" i="63"/>
  <c r="M98" i="63"/>
  <c r="M99" i="63"/>
  <c r="M71" i="63"/>
  <c r="L52" i="63"/>
  <c r="L49" i="63"/>
  <c r="L53" i="63" s="1"/>
  <c r="L50" i="63" s="1"/>
  <c r="L31" i="63" s="1"/>
  <c r="L30" i="63" s="1"/>
  <c r="K79" i="63"/>
  <c r="K70" i="63"/>
  <c r="K76" i="63"/>
  <c r="K75" i="63" s="1"/>
  <c r="M26" i="63"/>
  <c r="M31" i="63" s="1"/>
  <c r="M30" i="63" s="1"/>
  <c r="M52" i="63"/>
  <c r="M49" i="63"/>
  <c r="M53" i="63" s="1"/>
  <c r="M50" i="63" s="1"/>
  <c r="L116" i="45"/>
  <c r="L121" i="45" s="1"/>
  <c r="L108" i="45"/>
  <c r="L104" i="45"/>
  <c r="L105" i="45"/>
  <c r="L102" i="45"/>
  <c r="L97" i="45"/>
  <c r="L95" i="45"/>
  <c r="L32" i="45"/>
  <c r="L112" i="45" s="1"/>
  <c r="L96" i="45"/>
  <c r="L31" i="45"/>
  <c r="L30" i="45" s="1"/>
  <c r="M190" i="45"/>
  <c r="M254" i="45" s="1"/>
  <c r="M26" i="45"/>
  <c r="M234" i="45"/>
  <c r="M255" i="45"/>
  <c r="L255" i="45"/>
  <c r="L258" i="45" s="1"/>
  <c r="L234" i="45"/>
  <c r="H141" i="45"/>
  <c r="H249" i="45" s="1"/>
  <c r="H252" i="45" s="1"/>
  <c r="H260" i="45" s="1"/>
  <c r="H273" i="45" s="1"/>
  <c r="H274" i="45" s="1"/>
  <c r="K114" i="45"/>
  <c r="L69" i="45"/>
  <c r="L74" i="45" s="1"/>
  <c r="M234" i="46"/>
  <c r="M63" i="46"/>
  <c r="M60" i="46"/>
  <c r="M64" i="46" s="1"/>
  <c r="M61" i="46" s="1"/>
  <c r="L234" i="46"/>
  <c r="M26" i="46"/>
  <c r="M72" i="46"/>
  <c r="M77" i="46" s="1"/>
  <c r="M48" i="46"/>
  <c r="M44" i="46"/>
  <c r="M45" i="46"/>
  <c r="M47" i="46"/>
  <c r="M100" i="46"/>
  <c r="M35" i="46"/>
  <c r="M29" i="46"/>
  <c r="I69" i="46"/>
  <c r="I74" i="46" s="1"/>
  <c r="L64" i="46"/>
  <c r="L61" i="46" s="1"/>
  <c r="K46" i="46"/>
  <c r="J76" i="46"/>
  <c r="J75" i="46" s="1"/>
  <c r="J70" i="46"/>
  <c r="J79" i="46"/>
  <c r="I70" i="46"/>
  <c r="I76" i="46"/>
  <c r="I75" i="46" s="1"/>
  <c r="I79" i="46"/>
  <c r="L105" i="46"/>
  <c r="L102" i="46"/>
  <c r="L97" i="46"/>
  <c r="L95" i="46"/>
  <c r="L108" i="46"/>
  <c r="L96" i="46"/>
  <c r="L32" i="46"/>
  <c r="L112" i="46" s="1"/>
  <c r="L116" i="46"/>
  <c r="L121" i="46" s="1"/>
  <c r="L104" i="46"/>
  <c r="L47" i="46"/>
  <c r="L72" i="46"/>
  <c r="L77" i="46" s="1"/>
  <c r="L48" i="46"/>
  <c r="L44" i="46"/>
  <c r="L45" i="46"/>
  <c r="L100" i="46"/>
  <c r="M190" i="46"/>
  <c r="M254" i="46" s="1"/>
  <c r="M258" i="46" s="1"/>
  <c r="J69" i="46"/>
  <c r="J74" i="46" s="1"/>
  <c r="K114" i="46"/>
  <c r="K52" i="46"/>
  <c r="K49" i="46"/>
  <c r="K53" i="46" s="1"/>
  <c r="K50" i="46" s="1"/>
  <c r="K31" i="46" s="1"/>
  <c r="K30" i="46" s="1"/>
  <c r="L255" i="47"/>
  <c r="L234" i="47"/>
  <c r="M60" i="47"/>
  <c r="M64" i="47" s="1"/>
  <c r="M61" i="47" s="1"/>
  <c r="M63" i="47"/>
  <c r="M105" i="47"/>
  <c r="M102" i="47"/>
  <c r="M97" i="47"/>
  <c r="M95" i="47"/>
  <c r="M116" i="47"/>
  <c r="M121" i="47" s="1"/>
  <c r="M114" i="47"/>
  <c r="M96" i="47"/>
  <c r="M32" i="47"/>
  <c r="M112" i="47" s="1"/>
  <c r="M108" i="47"/>
  <c r="M104" i="47"/>
  <c r="L258" i="47"/>
  <c r="K69" i="47"/>
  <c r="K74" i="47" s="1"/>
  <c r="M35" i="47"/>
  <c r="M29" i="47"/>
  <c r="M234" i="47"/>
  <c r="M255" i="47"/>
  <c r="M258" i="47" s="1"/>
  <c r="L165" i="47"/>
  <c r="L251" i="47" s="1"/>
  <c r="K114" i="48"/>
  <c r="M165" i="48"/>
  <c r="M251" i="48" s="1"/>
  <c r="L165" i="48"/>
  <c r="L251" i="48" s="1"/>
  <c r="M26" i="48"/>
  <c r="K69" i="48"/>
  <c r="K74" i="48" s="1"/>
  <c r="L116" i="48"/>
  <c r="L121" i="48" s="1"/>
  <c r="L108" i="48"/>
  <c r="L104" i="48"/>
  <c r="L96" i="48"/>
  <c r="L105" i="48"/>
  <c r="L102" i="48"/>
  <c r="L97" i="48"/>
  <c r="L95" i="48"/>
  <c r="L32" i="48"/>
  <c r="L112" i="48" s="1"/>
  <c r="M190" i="48"/>
  <c r="M254" i="48" s="1"/>
  <c r="M258" i="48" s="1"/>
  <c r="M60" i="48"/>
  <c r="M64" i="48" s="1"/>
  <c r="M61" i="48" s="1"/>
  <c r="M63" i="48"/>
  <c r="L255" i="49"/>
  <c r="L234" i="49"/>
  <c r="K69" i="49"/>
  <c r="K74" i="49" s="1"/>
  <c r="M26" i="49"/>
  <c r="K79" i="49"/>
  <c r="K76" i="49"/>
  <c r="K75" i="49" s="1"/>
  <c r="K70" i="49"/>
  <c r="M46" i="49"/>
  <c r="K114" i="49"/>
  <c r="L49" i="49"/>
  <c r="L52" i="49"/>
  <c r="L116" i="49"/>
  <c r="L121" i="49" s="1"/>
  <c r="L108" i="49"/>
  <c r="L104" i="49"/>
  <c r="L96" i="49"/>
  <c r="L105" i="49"/>
  <c r="L102" i="49"/>
  <c r="L97" i="49"/>
  <c r="L95" i="49"/>
  <c r="L32" i="49"/>
  <c r="L112" i="49" s="1"/>
  <c r="H141" i="49"/>
  <c r="H249" i="49" s="1"/>
  <c r="H252" i="49" s="1"/>
  <c r="H260" i="49" s="1"/>
  <c r="H273" i="49" s="1"/>
  <c r="H274" i="49" s="1"/>
  <c r="L258" i="49"/>
  <c r="M52" i="49"/>
  <c r="M49" i="49"/>
  <c r="M53" i="49" s="1"/>
  <c r="M50" i="49" s="1"/>
  <c r="L46" i="49"/>
  <c r="M234" i="49"/>
  <c r="M255" i="49"/>
  <c r="M258" i="49" s="1"/>
  <c r="M63" i="49"/>
  <c r="M60" i="49"/>
  <c r="M64" i="49" s="1"/>
  <c r="M61" i="49" s="1"/>
  <c r="L165" i="49"/>
  <c r="L251" i="49" s="1"/>
  <c r="K69" i="50"/>
  <c r="K74" i="50" s="1"/>
  <c r="M26" i="50"/>
  <c r="M98" i="50"/>
  <c r="M71" i="50"/>
  <c r="M99" i="50"/>
  <c r="K98" i="50"/>
  <c r="K71" i="50"/>
  <c r="K99" i="50"/>
  <c r="L95" i="50"/>
  <c r="L116" i="50"/>
  <c r="L121" i="50" s="1"/>
  <c r="L108" i="50"/>
  <c r="L104" i="50"/>
  <c r="L96" i="50"/>
  <c r="L105" i="50"/>
  <c r="L102" i="50"/>
  <c r="L97" i="50"/>
  <c r="L32" i="50"/>
  <c r="L112" i="50" s="1"/>
  <c r="M234" i="50"/>
  <c r="M255" i="50"/>
  <c r="M258" i="50" s="1"/>
  <c r="L99" i="50"/>
  <c r="L71" i="50"/>
  <c r="L98" i="50"/>
  <c r="J69" i="50"/>
  <c r="J74" i="50" s="1"/>
  <c r="M52" i="50"/>
  <c r="M49" i="50"/>
  <c r="M53" i="50" s="1"/>
  <c r="M50" i="50" s="1"/>
  <c r="M31" i="50" s="1"/>
  <c r="M30" i="50" s="1"/>
  <c r="L255" i="50"/>
  <c r="L258" i="50" s="1"/>
  <c r="L234" i="50"/>
  <c r="L52" i="50"/>
  <c r="L49" i="50"/>
  <c r="L53" i="50" s="1"/>
  <c r="L50" i="50" s="1"/>
  <c r="L31" i="50" s="1"/>
  <c r="L30" i="50" s="1"/>
  <c r="J79" i="50"/>
  <c r="J70" i="50"/>
  <c r="J76" i="50"/>
  <c r="J75" i="50" s="1"/>
  <c r="K98" i="43"/>
  <c r="K71" i="43"/>
  <c r="K99" i="43"/>
  <c r="J79" i="43"/>
  <c r="J76" i="43"/>
  <c r="J75" i="43" s="1"/>
  <c r="J70" i="43"/>
  <c r="M35" i="43"/>
  <c r="M29" i="43"/>
  <c r="I76" i="43"/>
  <c r="I75" i="43" s="1"/>
  <c r="I70" i="43"/>
  <c r="I79" i="43"/>
  <c r="L114" i="43"/>
  <c r="M100" i="43"/>
  <c r="M72" i="43"/>
  <c r="M77" i="43" s="1"/>
  <c r="M47" i="43"/>
  <c r="M45" i="43"/>
  <c r="M48" i="43"/>
  <c r="M44" i="43"/>
  <c r="M46" i="43" s="1"/>
  <c r="J69" i="43"/>
  <c r="J74" i="43" s="1"/>
  <c r="K49" i="43"/>
  <c r="K53" i="43" s="1"/>
  <c r="K50" i="43" s="1"/>
  <c r="K31" i="43" s="1"/>
  <c r="K30" i="43" s="1"/>
  <c r="K52" i="43"/>
  <c r="M234" i="43"/>
  <c r="M255" i="43"/>
  <c r="M258" i="43" s="1"/>
  <c r="K258" i="43"/>
  <c r="M64" i="43"/>
  <c r="M61" i="43" s="1"/>
  <c r="L100" i="43"/>
  <c r="L45" i="43"/>
  <c r="L72" i="43"/>
  <c r="L77" i="43" s="1"/>
  <c r="L48" i="43"/>
  <c r="L44" i="43"/>
  <c r="L47" i="43"/>
  <c r="L64" i="43"/>
  <c r="L61" i="43" s="1"/>
  <c r="M116" i="43"/>
  <c r="M121" i="43" s="1"/>
  <c r="M108" i="43"/>
  <c r="M104" i="43"/>
  <c r="M96" i="43"/>
  <c r="M105" i="43"/>
  <c r="M102" i="43"/>
  <c r="M97" i="43"/>
  <c r="M95" i="43"/>
  <c r="M32" i="43"/>
  <c r="M112" i="43" s="1"/>
  <c r="L255" i="43"/>
  <c r="L258" i="43" s="1"/>
  <c r="L234" i="43"/>
  <c r="P109" i="43"/>
  <c r="Q109" i="43" s="1"/>
  <c r="Q121" i="43" s="1"/>
  <c r="H140" i="43"/>
  <c r="M29" i="44"/>
  <c r="M35" i="44"/>
  <c r="M234" i="44"/>
  <c r="M255" i="44"/>
  <c r="M258" i="44" s="1"/>
  <c r="I76" i="44"/>
  <c r="I75" i="44" s="1"/>
  <c r="I79" i="44"/>
  <c r="I70" i="44"/>
  <c r="J79" i="44"/>
  <c r="J70" i="44"/>
  <c r="J76" i="44"/>
  <c r="J75" i="44" s="1"/>
  <c r="L95" i="44"/>
  <c r="L116" i="44"/>
  <c r="L121" i="44" s="1"/>
  <c r="L108" i="44"/>
  <c r="L104" i="44"/>
  <c r="L96" i="44"/>
  <c r="L32" i="44"/>
  <c r="L112" i="44" s="1"/>
  <c r="L105" i="44"/>
  <c r="L102" i="44"/>
  <c r="L97" i="44"/>
  <c r="J69" i="44"/>
  <c r="J74" i="44" s="1"/>
  <c r="K98" i="44"/>
  <c r="K71" i="44"/>
  <c r="K99" i="44"/>
  <c r="L234" i="44"/>
  <c r="L255" i="44"/>
  <c r="L258" i="44" s="1"/>
  <c r="M100" i="44"/>
  <c r="M47" i="44"/>
  <c r="M72" i="44"/>
  <c r="M77" i="44" s="1"/>
  <c r="M48" i="44"/>
  <c r="M44" i="44"/>
  <c r="M46" i="44" s="1"/>
  <c r="M45" i="44"/>
  <c r="M26" i="44"/>
  <c r="K52" i="44"/>
  <c r="K49" i="44"/>
  <c r="K53" i="44" s="1"/>
  <c r="K50" i="44" s="1"/>
  <c r="K31" i="44" s="1"/>
  <c r="K30" i="44" s="1"/>
  <c r="L45" i="44"/>
  <c r="L100" i="44"/>
  <c r="L48" i="44"/>
  <c r="L44" i="44"/>
  <c r="L46" i="44" s="1"/>
  <c r="L47" i="44"/>
  <c r="L72" i="44"/>
  <c r="L77" i="44" s="1"/>
  <c r="L64" i="44"/>
  <c r="L61" i="44" s="1"/>
  <c r="M234" i="42"/>
  <c r="M255" i="42"/>
  <c r="M258" i="42" s="1"/>
  <c r="M99" i="42"/>
  <c r="M98" i="42"/>
  <c r="M71" i="42"/>
  <c r="L255" i="42"/>
  <c r="L258" i="42" s="1"/>
  <c r="L234" i="42"/>
  <c r="L98" i="42"/>
  <c r="L71" i="42"/>
  <c r="L99" i="42"/>
  <c r="M60" i="42"/>
  <c r="M64" i="42" s="1"/>
  <c r="M61" i="42" s="1"/>
  <c r="M63" i="42"/>
  <c r="K69" i="42"/>
  <c r="K74" i="42" s="1"/>
  <c r="L53" i="42"/>
  <c r="L50" i="42" s="1"/>
  <c r="M26" i="42"/>
  <c r="M53" i="42"/>
  <c r="M50" i="42" s="1"/>
  <c r="L31" i="42"/>
  <c r="L30" i="42" s="1"/>
  <c r="P109" i="42"/>
  <c r="Q109" i="42" s="1"/>
  <c r="Q121" i="42" s="1"/>
  <c r="H140" i="42"/>
  <c r="L165" i="42"/>
  <c r="L251" i="42" s="1"/>
  <c r="M29" i="42"/>
  <c r="M31" i="42" s="1"/>
  <c r="M30" i="42" s="1"/>
  <c r="M35" i="42"/>
  <c r="L116" i="42"/>
  <c r="L121" i="42" s="1"/>
  <c r="L108" i="42"/>
  <c r="L104" i="42"/>
  <c r="L96" i="42"/>
  <c r="L95" i="42"/>
  <c r="L105" i="42"/>
  <c r="L97" i="42"/>
  <c r="L32" i="42"/>
  <c r="L112" i="42" s="1"/>
  <c r="L102" i="42"/>
  <c r="K49" i="41"/>
  <c r="K53" i="41" s="1"/>
  <c r="K50" i="41" s="1"/>
  <c r="K31" i="41" s="1"/>
  <c r="K30" i="41" s="1"/>
  <c r="K52" i="41"/>
  <c r="M63" i="41"/>
  <c r="M60" i="41"/>
  <c r="M64" i="41" s="1"/>
  <c r="M61" i="41" s="1"/>
  <c r="L255" i="41"/>
  <c r="L234" i="41"/>
  <c r="J76" i="41"/>
  <c r="J75" i="41" s="1"/>
  <c r="J79" i="41"/>
  <c r="J70" i="41"/>
  <c r="L64" i="41"/>
  <c r="L61" i="41" s="1"/>
  <c r="M35" i="41"/>
  <c r="M29" i="41"/>
  <c r="M72" i="41"/>
  <c r="M77" i="41" s="1"/>
  <c r="M48" i="41"/>
  <c r="M44" i="41"/>
  <c r="M46" i="41" s="1"/>
  <c r="M100" i="41"/>
  <c r="M45" i="41"/>
  <c r="M47" i="41"/>
  <c r="M234" i="41"/>
  <c r="M255" i="41"/>
  <c r="M258" i="41" s="1"/>
  <c r="J69" i="41"/>
  <c r="J74" i="41" s="1"/>
  <c r="L47" i="41"/>
  <c r="L72" i="41"/>
  <c r="L77" i="41" s="1"/>
  <c r="L48" i="41"/>
  <c r="L45" i="41"/>
  <c r="L100" i="41"/>
  <c r="L44" i="41"/>
  <c r="K98" i="41"/>
  <c r="K71" i="41"/>
  <c r="K99" i="41"/>
  <c r="L258" i="41"/>
  <c r="L116" i="40"/>
  <c r="L121" i="40" s="1"/>
  <c r="L108" i="40"/>
  <c r="L104" i="40"/>
  <c r="L96" i="40"/>
  <c r="L32" i="40"/>
  <c r="L112" i="40" s="1"/>
  <c r="L105" i="40"/>
  <c r="L102" i="40"/>
  <c r="L95" i="40"/>
  <c r="L97" i="40"/>
  <c r="M52" i="40"/>
  <c r="M49" i="40"/>
  <c r="M60" i="40"/>
  <c r="M64" i="40" s="1"/>
  <c r="M61" i="40" s="1"/>
  <c r="M63" i="40"/>
  <c r="L165" i="40"/>
  <c r="L251" i="40" s="1"/>
  <c r="J70" i="40"/>
  <c r="J76" i="40"/>
  <c r="J75" i="40" s="1"/>
  <c r="J79" i="40"/>
  <c r="K79" i="40"/>
  <c r="K76" i="40"/>
  <c r="K75" i="40" s="1"/>
  <c r="K70" i="40"/>
  <c r="M46" i="40"/>
  <c r="L190" i="40"/>
  <c r="L254" i="40" s="1"/>
  <c r="L258" i="40" s="1"/>
  <c r="K69" i="40"/>
  <c r="K74" i="40" s="1"/>
  <c r="L52" i="40"/>
  <c r="L49" i="40"/>
  <c r="J69" i="40"/>
  <c r="J74" i="40" s="1"/>
  <c r="M26" i="40"/>
  <c r="L46" i="40"/>
  <c r="K69" i="39"/>
  <c r="K74" i="39" s="1"/>
  <c r="K99" i="39"/>
  <c r="K71" i="39"/>
  <c r="K98" i="39"/>
  <c r="L153" i="39"/>
  <c r="L250" i="39" s="1"/>
  <c r="L52" i="39"/>
  <c r="L49" i="39"/>
  <c r="L255" i="39"/>
  <c r="L258" i="39" s="1"/>
  <c r="L234" i="39"/>
  <c r="M98" i="39"/>
  <c r="M71" i="39"/>
  <c r="M99" i="39"/>
  <c r="M63" i="39"/>
  <c r="M60" i="39"/>
  <c r="M64" i="39" s="1"/>
  <c r="M61" i="39" s="1"/>
  <c r="M234" i="39"/>
  <c r="M255" i="39"/>
  <c r="M258" i="39" s="1"/>
  <c r="L46" i="39"/>
  <c r="L114" i="39"/>
  <c r="M52" i="39"/>
  <c r="M49" i="39"/>
  <c r="M53" i="39" s="1"/>
  <c r="M50" i="39" s="1"/>
  <c r="M26" i="39"/>
  <c r="K69" i="38"/>
  <c r="K74" i="38" s="1"/>
  <c r="M190" i="38"/>
  <c r="M254" i="38" s="1"/>
  <c r="M258" i="38" s="1"/>
  <c r="L190" i="38"/>
  <c r="L254" i="38" s="1"/>
  <c r="M116" i="38"/>
  <c r="M121" i="38" s="1"/>
  <c r="M108" i="38"/>
  <c r="M104" i="38"/>
  <c r="M96" i="38"/>
  <c r="M97" i="38"/>
  <c r="M105" i="38"/>
  <c r="M102" i="38"/>
  <c r="M95" i="38"/>
  <c r="M32" i="38"/>
  <c r="M112" i="38" s="1"/>
  <c r="J69" i="38"/>
  <c r="J74" i="38" s="1"/>
  <c r="L52" i="38"/>
  <c r="L49" i="38"/>
  <c r="J79" i="38"/>
  <c r="J70" i="38"/>
  <c r="J76" i="38"/>
  <c r="J75" i="38" s="1"/>
  <c r="M46" i="38"/>
  <c r="M234" i="38"/>
  <c r="M255" i="38"/>
  <c r="K70" i="38"/>
  <c r="K76" i="38"/>
  <c r="K75" i="38" s="1"/>
  <c r="K79" i="38"/>
  <c r="L114" i="38"/>
  <c r="L46" i="38"/>
  <c r="M52" i="38"/>
  <c r="M49" i="38"/>
  <c r="M29" i="38"/>
  <c r="M35" i="38"/>
  <c r="L255" i="38"/>
  <c r="L234" i="38"/>
  <c r="L52" i="37"/>
  <c r="L49" i="37"/>
  <c r="M234" i="37"/>
  <c r="M255" i="37"/>
  <c r="M258" i="37" s="1"/>
  <c r="K98" i="37"/>
  <c r="K71" i="37"/>
  <c r="K99" i="37"/>
  <c r="K114" i="37"/>
  <c r="M153" i="37"/>
  <c r="M250" i="37" s="1"/>
  <c r="K53" i="37"/>
  <c r="K50" i="37" s="1"/>
  <c r="K31" i="37" s="1"/>
  <c r="K30" i="37" s="1"/>
  <c r="M52" i="37"/>
  <c r="M49" i="37"/>
  <c r="M53" i="37" s="1"/>
  <c r="M50" i="37" s="1"/>
  <c r="L46" i="37"/>
  <c r="P109" i="37"/>
  <c r="Q109" i="37" s="1"/>
  <c r="Q121" i="37" s="1"/>
  <c r="H140" i="37"/>
  <c r="L255" i="37"/>
  <c r="L234" i="37"/>
  <c r="L105" i="37"/>
  <c r="L102" i="37"/>
  <c r="L97" i="37"/>
  <c r="L95" i="37"/>
  <c r="L114" i="37"/>
  <c r="L108" i="37"/>
  <c r="L96" i="37"/>
  <c r="L116" i="37"/>
  <c r="L121" i="37" s="1"/>
  <c r="L104" i="37"/>
  <c r="L32" i="37"/>
  <c r="L112" i="37" s="1"/>
  <c r="L258" i="37"/>
  <c r="J79" i="37"/>
  <c r="J70" i="37"/>
  <c r="J76" i="37"/>
  <c r="J75" i="37" s="1"/>
  <c r="M165" i="37"/>
  <c r="M251" i="37" s="1"/>
  <c r="J69" i="37"/>
  <c r="J74" i="37" s="1"/>
  <c r="M29" i="37"/>
  <c r="M31" i="37" s="1"/>
  <c r="M30" i="37" s="1"/>
  <c r="M35" i="37"/>
  <c r="M26" i="37"/>
  <c r="M98" i="37"/>
  <c r="M99" i="37"/>
  <c r="M71" i="37"/>
  <c r="L153" i="37"/>
  <c r="L250" i="37" s="1"/>
  <c r="M35" i="36"/>
  <c r="M29" i="36"/>
  <c r="L153" i="36"/>
  <c r="L250" i="36" s="1"/>
  <c r="J76" i="36"/>
  <c r="J75" i="36" s="1"/>
  <c r="J79" i="36"/>
  <c r="J70" i="36"/>
  <c r="L114" i="36"/>
  <c r="M46" i="36"/>
  <c r="M255" i="36"/>
  <c r="M258" i="36" s="1"/>
  <c r="M234" i="36"/>
  <c r="L98" i="36"/>
  <c r="L99" i="36"/>
  <c r="L71" i="36"/>
  <c r="K98" i="36"/>
  <c r="K71" i="36"/>
  <c r="K99" i="36"/>
  <c r="M49" i="36"/>
  <c r="M52" i="36"/>
  <c r="L234" i="36"/>
  <c r="L255" i="36"/>
  <c r="M116" i="36"/>
  <c r="M121" i="36" s="1"/>
  <c r="M95" i="36"/>
  <c r="M108" i="36"/>
  <c r="M104" i="36"/>
  <c r="M96" i="36"/>
  <c r="M32" i="36"/>
  <c r="M112" i="36" s="1"/>
  <c r="M105" i="36"/>
  <c r="M102" i="36"/>
  <c r="M97" i="36"/>
  <c r="K53" i="36"/>
  <c r="K50" i="36" s="1"/>
  <c r="K31" i="36" s="1"/>
  <c r="K30" i="36" s="1"/>
  <c r="L52" i="36"/>
  <c r="L49" i="36"/>
  <c r="L53" i="36" s="1"/>
  <c r="L50" i="36" s="1"/>
  <c r="L31" i="36" s="1"/>
  <c r="L30" i="36" s="1"/>
  <c r="L258" i="36"/>
  <c r="I17" i="60"/>
  <c r="J16" i="60"/>
  <c r="L8" i="35"/>
  <c r="L46" i="46" l="1"/>
  <c r="M49" i="48"/>
  <c r="M52" i="48"/>
  <c r="L52" i="47"/>
  <c r="L49" i="47"/>
  <c r="L53" i="47" s="1"/>
  <c r="L50" i="47" s="1"/>
  <c r="L31" i="47" s="1"/>
  <c r="L30" i="47" s="1"/>
  <c r="L98" i="45"/>
  <c r="L71" i="45"/>
  <c r="L99" i="45"/>
  <c r="M46" i="47"/>
  <c r="L49" i="48"/>
  <c r="L53" i="48" s="1"/>
  <c r="L50" i="48" s="1"/>
  <c r="L31" i="48" s="1"/>
  <c r="L30" i="48" s="1"/>
  <c r="L52" i="48"/>
  <c r="L46" i="48"/>
  <c r="K76" i="47"/>
  <c r="K75" i="47" s="1"/>
  <c r="K70" i="47"/>
  <c r="K79" i="47"/>
  <c r="L114" i="49"/>
  <c r="L114" i="46"/>
  <c r="M69" i="63"/>
  <c r="M74" i="63" s="1"/>
  <c r="M46" i="48"/>
  <c r="J76" i="47"/>
  <c r="J75" i="47" s="1"/>
  <c r="J79" i="47"/>
  <c r="J70" i="47"/>
  <c r="L46" i="41"/>
  <c r="M31" i="49"/>
  <c r="M30" i="49" s="1"/>
  <c r="M46" i="70"/>
  <c r="M31" i="71"/>
  <c r="M30" i="71" s="1"/>
  <c r="M31" i="73"/>
  <c r="M30" i="73" s="1"/>
  <c r="M31" i="75"/>
  <c r="M30" i="75" s="1"/>
  <c r="K70" i="48"/>
  <c r="K79" i="48"/>
  <c r="K76" i="48"/>
  <c r="K75" i="48" s="1"/>
  <c r="M114" i="41"/>
  <c r="L98" i="47"/>
  <c r="L71" i="47"/>
  <c r="L99" i="47"/>
  <c r="M52" i="47"/>
  <c r="M49" i="47"/>
  <c r="M53" i="47" s="1"/>
  <c r="M50" i="47" s="1"/>
  <c r="M31" i="47" s="1"/>
  <c r="M30" i="47" s="1"/>
  <c r="M114" i="73"/>
  <c r="M71" i="45"/>
  <c r="M99" i="45"/>
  <c r="M98" i="45"/>
  <c r="M53" i="45"/>
  <c r="M50" i="45" s="1"/>
  <c r="K69" i="76"/>
  <c r="K74" i="76" s="1"/>
  <c r="L71" i="76"/>
  <c r="M99" i="76"/>
  <c r="M98" i="76"/>
  <c r="K102" i="76"/>
  <c r="L53" i="76"/>
  <c r="L50" i="76" s="1"/>
  <c r="L31" i="76" s="1"/>
  <c r="L30" i="76" s="1"/>
  <c r="L69" i="76" s="1"/>
  <c r="L74" i="76" s="1"/>
  <c r="L98" i="76"/>
  <c r="M53" i="76"/>
  <c r="M50" i="76" s="1"/>
  <c r="M31" i="76" s="1"/>
  <c r="M30" i="76" s="1"/>
  <c r="K114" i="76"/>
  <c r="M116" i="76"/>
  <c r="M121" i="76" s="1"/>
  <c r="M108" i="76"/>
  <c r="M104" i="76"/>
  <c r="M96" i="76"/>
  <c r="M97" i="76"/>
  <c r="M105" i="76"/>
  <c r="M32" i="76"/>
  <c r="M112" i="76" s="1"/>
  <c r="M95" i="76"/>
  <c r="L76" i="76"/>
  <c r="L75" i="76" s="1"/>
  <c r="L70" i="76"/>
  <c r="M76" i="76"/>
  <c r="M75" i="76" s="1"/>
  <c r="M70" i="76"/>
  <c r="M69" i="75"/>
  <c r="M74" i="75" s="1"/>
  <c r="L53" i="75"/>
  <c r="L50" i="75" s="1"/>
  <c r="L31" i="75" s="1"/>
  <c r="L30" i="75" s="1"/>
  <c r="M116" i="75"/>
  <c r="M121" i="75" s="1"/>
  <c r="M108" i="75"/>
  <c r="M104" i="75"/>
  <c r="M95" i="75"/>
  <c r="M105" i="75"/>
  <c r="M102" i="75"/>
  <c r="M97" i="75"/>
  <c r="M96" i="75"/>
  <c r="M32" i="75"/>
  <c r="M112" i="75" s="1"/>
  <c r="L114" i="75"/>
  <c r="M70" i="75"/>
  <c r="M76" i="75"/>
  <c r="M75" i="75" s="1"/>
  <c r="L99" i="75"/>
  <c r="L98" i="75"/>
  <c r="L71" i="75"/>
  <c r="M116" i="74"/>
  <c r="M121" i="74" s="1"/>
  <c r="M95" i="74"/>
  <c r="M97" i="74"/>
  <c r="M32" i="74"/>
  <c r="M112" i="74" s="1"/>
  <c r="M104" i="74"/>
  <c r="M105" i="74"/>
  <c r="M102" i="74"/>
  <c r="M114" i="74"/>
  <c r="M108" i="74"/>
  <c r="M96" i="74"/>
  <c r="M31" i="74"/>
  <c r="M30" i="74" s="1"/>
  <c r="L69" i="74"/>
  <c r="L74" i="74" s="1"/>
  <c r="M69" i="73"/>
  <c r="M74" i="73" s="1"/>
  <c r="L69" i="73"/>
  <c r="L74" i="73" s="1"/>
  <c r="M70" i="73"/>
  <c r="M76" i="73"/>
  <c r="M75" i="73" s="1"/>
  <c r="K79" i="73"/>
  <c r="K76" i="73"/>
  <c r="K75" i="73" s="1"/>
  <c r="K70" i="73"/>
  <c r="L76" i="73"/>
  <c r="L75" i="73" s="1"/>
  <c r="L70" i="73"/>
  <c r="L69" i="72"/>
  <c r="L74" i="72" s="1"/>
  <c r="M95" i="72"/>
  <c r="M108" i="72"/>
  <c r="M96" i="72"/>
  <c r="M116" i="72"/>
  <c r="M121" i="72" s="1"/>
  <c r="M97" i="72"/>
  <c r="M32" i="72"/>
  <c r="M112" i="72" s="1"/>
  <c r="M105" i="72"/>
  <c r="M102" i="72"/>
  <c r="M104" i="72"/>
  <c r="K76" i="72"/>
  <c r="K75" i="72" s="1"/>
  <c r="K79" i="72"/>
  <c r="K70" i="72"/>
  <c r="M98" i="72"/>
  <c r="M71" i="72"/>
  <c r="M99" i="72"/>
  <c r="L114" i="72"/>
  <c r="L98" i="72"/>
  <c r="L71" i="72"/>
  <c r="L99" i="72"/>
  <c r="K79" i="71"/>
  <c r="K70" i="71"/>
  <c r="K76" i="71"/>
  <c r="K75" i="71" s="1"/>
  <c r="M95" i="71"/>
  <c r="M116" i="71"/>
  <c r="M121" i="71" s="1"/>
  <c r="M108" i="71"/>
  <c r="M104" i="71"/>
  <c r="M96" i="71"/>
  <c r="M105" i="71"/>
  <c r="M102" i="71"/>
  <c r="M97" i="71"/>
  <c r="M32" i="71"/>
  <c r="M112" i="71" s="1"/>
  <c r="L69" i="71"/>
  <c r="L74" i="71" s="1"/>
  <c r="L98" i="71"/>
  <c r="L99" i="71"/>
  <c r="L71" i="71"/>
  <c r="L114" i="71"/>
  <c r="M99" i="71"/>
  <c r="M98" i="71"/>
  <c r="M71" i="71"/>
  <c r="M69" i="71"/>
  <c r="M74" i="71" s="1"/>
  <c r="L98" i="70"/>
  <c r="L71" i="70"/>
  <c r="L99" i="70"/>
  <c r="K69" i="70"/>
  <c r="K74" i="70" s="1"/>
  <c r="M99" i="70"/>
  <c r="M98" i="70"/>
  <c r="M71" i="70"/>
  <c r="M31" i="70"/>
  <c r="M30" i="70" s="1"/>
  <c r="L52" i="70"/>
  <c r="L49" i="70"/>
  <c r="L53" i="70" s="1"/>
  <c r="L50" i="70" s="1"/>
  <c r="L31" i="70" s="1"/>
  <c r="L30" i="70" s="1"/>
  <c r="K99" i="70"/>
  <c r="K98" i="70"/>
  <c r="K71" i="70"/>
  <c r="M52" i="70"/>
  <c r="M49" i="70"/>
  <c r="M53" i="70" s="1"/>
  <c r="M50" i="70" s="1"/>
  <c r="L46" i="69"/>
  <c r="L52" i="69"/>
  <c r="L49" i="69"/>
  <c r="J76" i="69"/>
  <c r="J75" i="69" s="1"/>
  <c r="J70" i="69"/>
  <c r="J79" i="69"/>
  <c r="M98" i="69"/>
  <c r="M71" i="69"/>
  <c r="M99" i="69"/>
  <c r="K69" i="69"/>
  <c r="K74" i="69" s="1"/>
  <c r="L114" i="69"/>
  <c r="K76" i="69"/>
  <c r="K75" i="69" s="1"/>
  <c r="K79" i="69"/>
  <c r="K70" i="69"/>
  <c r="M95" i="69"/>
  <c r="M104" i="69"/>
  <c r="M32" i="69"/>
  <c r="M112" i="69" s="1"/>
  <c r="M96" i="69"/>
  <c r="M105" i="69"/>
  <c r="M102" i="69"/>
  <c r="M108" i="69"/>
  <c r="M116" i="69"/>
  <c r="M121" i="69" s="1"/>
  <c r="M97" i="69"/>
  <c r="M52" i="69"/>
  <c r="M49" i="69"/>
  <c r="M53" i="69" s="1"/>
  <c r="M50" i="69" s="1"/>
  <c r="M31" i="69" s="1"/>
  <c r="M30" i="69" s="1"/>
  <c r="L69" i="63"/>
  <c r="L74" i="63" s="1"/>
  <c r="M105" i="63"/>
  <c r="M102" i="63"/>
  <c r="M95" i="63"/>
  <c r="M97" i="63"/>
  <c r="M104" i="63"/>
  <c r="M108" i="63"/>
  <c r="M96" i="63"/>
  <c r="M32" i="63"/>
  <c r="M112" i="63" s="1"/>
  <c r="M116" i="63"/>
  <c r="M121" i="63" s="1"/>
  <c r="M76" i="63"/>
  <c r="M75" i="63" s="1"/>
  <c r="M70" i="63"/>
  <c r="L70" i="63"/>
  <c r="L76" i="63"/>
  <c r="L75" i="63" s="1"/>
  <c r="L114" i="63"/>
  <c r="M258" i="45"/>
  <c r="L114" i="45"/>
  <c r="M105" i="45"/>
  <c r="M102" i="45"/>
  <c r="M116" i="45"/>
  <c r="M121" i="45" s="1"/>
  <c r="M104" i="45"/>
  <c r="M97" i="45"/>
  <c r="M108" i="45"/>
  <c r="M96" i="45"/>
  <c r="M95" i="45"/>
  <c r="M32" i="45"/>
  <c r="M112" i="45" s="1"/>
  <c r="M31" i="45"/>
  <c r="M30" i="45" s="1"/>
  <c r="K98" i="46"/>
  <c r="K99" i="46"/>
  <c r="K71" i="46"/>
  <c r="M116" i="46"/>
  <c r="M121" i="46" s="1"/>
  <c r="M95" i="46"/>
  <c r="M108" i="46"/>
  <c r="M96" i="46"/>
  <c r="M32" i="46"/>
  <c r="M112" i="46" s="1"/>
  <c r="M97" i="46"/>
  <c r="M104" i="46"/>
  <c r="M105" i="46"/>
  <c r="M102" i="46"/>
  <c r="L98" i="46"/>
  <c r="L71" i="46"/>
  <c r="L99" i="46"/>
  <c r="M52" i="46"/>
  <c r="M49" i="46"/>
  <c r="K69" i="46"/>
  <c r="K74" i="46" s="1"/>
  <c r="M46" i="46"/>
  <c r="L52" i="46"/>
  <c r="L49" i="46"/>
  <c r="L53" i="46" s="1"/>
  <c r="L50" i="46" s="1"/>
  <c r="L31" i="46" s="1"/>
  <c r="L30" i="46" s="1"/>
  <c r="L114" i="48"/>
  <c r="M105" i="48"/>
  <c r="M102" i="48"/>
  <c r="M97" i="48"/>
  <c r="M95" i="48"/>
  <c r="M104" i="48"/>
  <c r="M96" i="48"/>
  <c r="M32" i="48"/>
  <c r="M112" i="48" s="1"/>
  <c r="M108" i="48"/>
  <c r="M116" i="48"/>
  <c r="M121" i="48" s="1"/>
  <c r="M69" i="49"/>
  <c r="M74" i="49" s="1"/>
  <c r="M98" i="49"/>
  <c r="M99" i="49"/>
  <c r="M71" i="49"/>
  <c r="L98" i="49"/>
  <c r="L71" i="49"/>
  <c r="L99" i="49"/>
  <c r="L53" i="49"/>
  <c r="L50" i="49" s="1"/>
  <c r="L31" i="49" s="1"/>
  <c r="L30" i="49" s="1"/>
  <c r="M105" i="49"/>
  <c r="M102" i="49"/>
  <c r="M97" i="49"/>
  <c r="M95" i="49"/>
  <c r="M104" i="49"/>
  <c r="M108" i="49"/>
  <c r="M32" i="49"/>
  <c r="M112" i="49" s="1"/>
  <c r="M116" i="49"/>
  <c r="M121" i="49" s="1"/>
  <c r="M96" i="49"/>
  <c r="L69" i="50"/>
  <c r="L74" i="50" s="1"/>
  <c r="L70" i="50"/>
  <c r="L76" i="50"/>
  <c r="L75" i="50" s="1"/>
  <c r="M76" i="50"/>
  <c r="M75" i="50" s="1"/>
  <c r="M70" i="50"/>
  <c r="M116" i="50"/>
  <c r="M121" i="50" s="1"/>
  <c r="M108" i="50"/>
  <c r="M104" i="50"/>
  <c r="M96" i="50"/>
  <c r="M105" i="50"/>
  <c r="M102" i="50"/>
  <c r="M97" i="50"/>
  <c r="M95" i="50"/>
  <c r="M32" i="50"/>
  <c r="M112" i="50" s="1"/>
  <c r="L114" i="50"/>
  <c r="K70" i="50"/>
  <c r="K76" i="50"/>
  <c r="K75" i="50" s="1"/>
  <c r="K79" i="50"/>
  <c r="M69" i="50"/>
  <c r="M74" i="50" s="1"/>
  <c r="K70" i="43"/>
  <c r="K76" i="43"/>
  <c r="K75" i="43" s="1"/>
  <c r="K79" i="43"/>
  <c r="H141" i="43"/>
  <c r="H249" i="43" s="1"/>
  <c r="H252" i="43" s="1"/>
  <c r="H260" i="43" s="1"/>
  <c r="H273" i="43" s="1"/>
  <c r="H274" i="43" s="1"/>
  <c r="L49" i="43"/>
  <c r="L53" i="43" s="1"/>
  <c r="L50" i="43" s="1"/>
  <c r="L31" i="43" s="1"/>
  <c r="L30" i="43" s="1"/>
  <c r="L52" i="43"/>
  <c r="M52" i="43"/>
  <c r="M49" i="43"/>
  <c r="M53" i="43" s="1"/>
  <c r="M50" i="43" s="1"/>
  <c r="M31" i="43" s="1"/>
  <c r="M30" i="43" s="1"/>
  <c r="M114" i="43"/>
  <c r="L46" i="43"/>
  <c r="K69" i="43"/>
  <c r="K74" i="43" s="1"/>
  <c r="M98" i="43"/>
  <c r="M71" i="43"/>
  <c r="M99" i="43"/>
  <c r="M116" i="44"/>
  <c r="M121" i="44" s="1"/>
  <c r="M108" i="44"/>
  <c r="M104" i="44"/>
  <c r="M96" i="44"/>
  <c r="M32" i="44"/>
  <c r="M112" i="44" s="1"/>
  <c r="M105" i="44"/>
  <c r="M102" i="44"/>
  <c r="M97" i="44"/>
  <c r="M95" i="44"/>
  <c r="L52" i="44"/>
  <c r="L49" i="44"/>
  <c r="L53" i="44" s="1"/>
  <c r="L50" i="44" s="1"/>
  <c r="L31" i="44" s="1"/>
  <c r="L30" i="44" s="1"/>
  <c r="K70" i="44"/>
  <c r="K76" i="44"/>
  <c r="K75" i="44" s="1"/>
  <c r="K79" i="44"/>
  <c r="L99" i="44"/>
  <c r="L71" i="44"/>
  <c r="L98" i="44"/>
  <c r="M49" i="44"/>
  <c r="M53" i="44" s="1"/>
  <c r="M50" i="44" s="1"/>
  <c r="M31" i="44" s="1"/>
  <c r="M30" i="44" s="1"/>
  <c r="M52" i="44"/>
  <c r="K69" i="44"/>
  <c r="K74" i="44" s="1"/>
  <c r="M98" i="44"/>
  <c r="M71" i="44"/>
  <c r="M99" i="44"/>
  <c r="L114" i="44"/>
  <c r="L69" i="42"/>
  <c r="L74" i="42" s="1"/>
  <c r="M95" i="42"/>
  <c r="M105" i="42"/>
  <c r="M102" i="42"/>
  <c r="M97" i="42"/>
  <c r="M108" i="42"/>
  <c r="M96" i="42"/>
  <c r="M32" i="42"/>
  <c r="M112" i="42" s="1"/>
  <c r="M104" i="42"/>
  <c r="M116" i="42"/>
  <c r="M121" i="42" s="1"/>
  <c r="L76" i="42"/>
  <c r="L75" i="42" s="1"/>
  <c r="L70" i="42"/>
  <c r="M76" i="42"/>
  <c r="M75" i="42" s="1"/>
  <c r="M70" i="42"/>
  <c r="H141" i="42"/>
  <c r="H249" i="42" s="1"/>
  <c r="H252" i="42" s="1"/>
  <c r="H260" i="42" s="1"/>
  <c r="H273" i="42" s="1"/>
  <c r="H274" i="42" s="1"/>
  <c r="M69" i="42"/>
  <c r="M74" i="42" s="1"/>
  <c r="L114" i="42"/>
  <c r="M98" i="41"/>
  <c r="M99" i="41"/>
  <c r="M71" i="41"/>
  <c r="L98" i="41"/>
  <c r="L71" i="41"/>
  <c r="L99" i="41"/>
  <c r="M52" i="41"/>
  <c r="M49" i="41"/>
  <c r="M53" i="41" s="1"/>
  <c r="M50" i="41" s="1"/>
  <c r="M31" i="41" s="1"/>
  <c r="M30" i="41" s="1"/>
  <c r="L49" i="41"/>
  <c r="L53" i="41" s="1"/>
  <c r="L50" i="41" s="1"/>
  <c r="L31" i="41" s="1"/>
  <c r="L30" i="41" s="1"/>
  <c r="L52" i="41"/>
  <c r="K69" i="41"/>
  <c r="K74" i="41" s="1"/>
  <c r="K76" i="41"/>
  <c r="K75" i="41" s="1"/>
  <c r="K79" i="41"/>
  <c r="K70" i="41"/>
  <c r="M99" i="40"/>
  <c r="M98" i="40"/>
  <c r="M71" i="40"/>
  <c r="L114" i="40"/>
  <c r="M105" i="40"/>
  <c r="M102" i="40"/>
  <c r="M97" i="40"/>
  <c r="M95" i="40"/>
  <c r="M116" i="40"/>
  <c r="M121" i="40" s="1"/>
  <c r="M104" i="40"/>
  <c r="M32" i="40"/>
  <c r="M112" i="40" s="1"/>
  <c r="M114" i="40"/>
  <c r="M108" i="40"/>
  <c r="M96" i="40"/>
  <c r="M53" i="40"/>
  <c r="M50" i="40" s="1"/>
  <c r="M31" i="40" s="1"/>
  <c r="M30" i="40" s="1"/>
  <c r="L98" i="40"/>
  <c r="L71" i="40"/>
  <c r="L99" i="40"/>
  <c r="L53" i="40"/>
  <c r="L50" i="40" s="1"/>
  <c r="L31" i="40" s="1"/>
  <c r="L30" i="40" s="1"/>
  <c r="L98" i="39"/>
  <c r="L71" i="39"/>
  <c r="L99" i="39"/>
  <c r="M108" i="39"/>
  <c r="M105" i="39"/>
  <c r="M102" i="39"/>
  <c r="M97" i="39"/>
  <c r="M104" i="39"/>
  <c r="M95" i="39"/>
  <c r="M32" i="39"/>
  <c r="M112" i="39" s="1"/>
  <c r="M116" i="39"/>
  <c r="M121" i="39" s="1"/>
  <c r="M96" i="39"/>
  <c r="M31" i="39"/>
  <c r="M30" i="39" s="1"/>
  <c r="M69" i="39" s="1"/>
  <c r="M74" i="39" s="1"/>
  <c r="M70" i="39"/>
  <c r="M76" i="39"/>
  <c r="M75" i="39" s="1"/>
  <c r="L53" i="39"/>
  <c r="L50" i="39" s="1"/>
  <c r="L31" i="39" s="1"/>
  <c r="L30" i="39" s="1"/>
  <c r="K76" i="39"/>
  <c r="K75" i="39" s="1"/>
  <c r="K79" i="39"/>
  <c r="K70" i="39"/>
  <c r="M71" i="38"/>
  <c r="M98" i="38"/>
  <c r="M99" i="38"/>
  <c r="L99" i="38"/>
  <c r="L71" i="38"/>
  <c r="L98" i="38"/>
  <c r="L53" i="38"/>
  <c r="L50" i="38" s="1"/>
  <c r="L31" i="38" s="1"/>
  <c r="L30" i="38" s="1"/>
  <c r="M114" i="38"/>
  <c r="M53" i="38"/>
  <c r="M50" i="38" s="1"/>
  <c r="M31" i="38" s="1"/>
  <c r="M30" i="38" s="1"/>
  <c r="L258" i="38"/>
  <c r="H141" i="37"/>
  <c r="H249" i="37" s="1"/>
  <c r="H252" i="37" s="1"/>
  <c r="H260" i="37" s="1"/>
  <c r="H273" i="37" s="1"/>
  <c r="H274" i="37" s="1"/>
  <c r="K69" i="37"/>
  <c r="K74" i="37" s="1"/>
  <c r="M116" i="37"/>
  <c r="M121" i="37" s="1"/>
  <c r="M108" i="37"/>
  <c r="M104" i="37"/>
  <c r="M96" i="37"/>
  <c r="M95" i="37"/>
  <c r="M97" i="37"/>
  <c r="M32" i="37"/>
  <c r="M112" i="37" s="1"/>
  <c r="M102" i="37"/>
  <c r="M105" i="37"/>
  <c r="M76" i="37"/>
  <c r="M75" i="37" s="1"/>
  <c r="M70" i="37"/>
  <c r="M69" i="37"/>
  <c r="M74" i="37" s="1"/>
  <c r="L99" i="37"/>
  <c r="L98" i="37"/>
  <c r="L71" i="37"/>
  <c r="K70" i="37"/>
  <c r="K76" i="37"/>
  <c r="K75" i="37" s="1"/>
  <c r="K79" i="37"/>
  <c r="L53" i="37"/>
  <c r="L50" i="37" s="1"/>
  <c r="L31" i="37" s="1"/>
  <c r="L30" i="37" s="1"/>
  <c r="L69" i="36"/>
  <c r="L74" i="36" s="1"/>
  <c r="M99" i="36"/>
  <c r="M71" i="36"/>
  <c r="M98" i="36"/>
  <c r="M53" i="36"/>
  <c r="M50" i="36" s="1"/>
  <c r="M31" i="36" s="1"/>
  <c r="M30" i="36" s="1"/>
  <c r="L76" i="36"/>
  <c r="L75" i="36" s="1"/>
  <c r="L70" i="36"/>
  <c r="K69" i="36"/>
  <c r="K74" i="36" s="1"/>
  <c r="M114" i="36"/>
  <c r="K79" i="36"/>
  <c r="K70" i="36"/>
  <c r="K76" i="36"/>
  <c r="K75" i="36" s="1"/>
  <c r="I18" i="60"/>
  <c r="J17" i="60"/>
  <c r="M19" i="35"/>
  <c r="L19" i="35"/>
  <c r="G84" i="1"/>
  <c r="C4" i="85"/>
  <c r="D86" i="60"/>
  <c r="C86" i="60"/>
  <c r="C81" i="60"/>
  <c r="D81" i="60"/>
  <c r="D87" i="60" s="1"/>
  <c r="D66" i="60"/>
  <c r="C66" i="60"/>
  <c r="K65" i="60"/>
  <c r="K66" i="60" s="1"/>
  <c r="K67" i="60" s="1"/>
  <c r="K68" i="60" s="1"/>
  <c r="K69" i="60" s="1"/>
  <c r="K70" i="60" s="1"/>
  <c r="K71" i="60" s="1"/>
  <c r="K72" i="60" s="1"/>
  <c r="K73" i="60" s="1"/>
  <c r="K74" i="60" s="1"/>
  <c r="K75" i="60" s="1"/>
  <c r="K76" i="60" s="1"/>
  <c r="K77" i="60" s="1"/>
  <c r="K78" i="60" s="1"/>
  <c r="K79" i="60" s="1"/>
  <c r="K80" i="60" s="1"/>
  <c r="K81" i="60" s="1"/>
  <c r="K82" i="60" s="1"/>
  <c r="K83" i="60" s="1"/>
  <c r="K84" i="60" s="1"/>
  <c r="K85" i="60" s="1"/>
  <c r="K86" i="60" s="1"/>
  <c r="K87" i="60" s="1"/>
  <c r="K88" i="60" s="1"/>
  <c r="K89" i="60" s="1"/>
  <c r="K90" i="60" s="1"/>
  <c r="K91" i="60" s="1"/>
  <c r="K92" i="60" s="1"/>
  <c r="K93" i="60" s="1"/>
  <c r="K94" i="60" s="1"/>
  <c r="K95" i="60" s="1"/>
  <c r="K96" i="60" s="1"/>
  <c r="K97" i="60" s="1"/>
  <c r="K98" i="60" s="1"/>
  <c r="K99" i="60" s="1"/>
  <c r="K100" i="60" s="1"/>
  <c r="K101" i="60" s="1"/>
  <c r="K102" i="60" s="1"/>
  <c r="K103" i="60" s="1"/>
  <c r="K104" i="60" s="1"/>
  <c r="K105" i="60" s="1"/>
  <c r="K106" i="60" s="1"/>
  <c r="K107" i="60" s="1"/>
  <c r="I64" i="60"/>
  <c r="J64" i="60" s="1"/>
  <c r="J63" i="60"/>
  <c r="J62" i="60"/>
  <c r="J61" i="60"/>
  <c r="J60" i="60"/>
  <c r="M69" i="47" l="1"/>
  <c r="M74" i="47" s="1"/>
  <c r="M99" i="48"/>
  <c r="M71" i="48"/>
  <c r="M98" i="48"/>
  <c r="M71" i="47"/>
  <c r="M98" i="47"/>
  <c r="M99" i="47"/>
  <c r="L69" i="47"/>
  <c r="L74" i="47" s="1"/>
  <c r="M114" i="37"/>
  <c r="M114" i="69"/>
  <c r="L53" i="69"/>
  <c r="L50" i="69" s="1"/>
  <c r="L31" i="69" s="1"/>
  <c r="L30" i="69" s="1"/>
  <c r="M114" i="75"/>
  <c r="L76" i="47"/>
  <c r="L75" i="47" s="1"/>
  <c r="L70" i="47"/>
  <c r="L71" i="48"/>
  <c r="L99" i="48"/>
  <c r="L98" i="48"/>
  <c r="L76" i="45"/>
  <c r="L75" i="45" s="1"/>
  <c r="L70" i="45"/>
  <c r="M114" i="50"/>
  <c r="M114" i="63"/>
  <c r="M70" i="45"/>
  <c r="M76" i="45"/>
  <c r="M75" i="45" s="1"/>
  <c r="L69" i="48"/>
  <c r="L74" i="48" s="1"/>
  <c r="M53" i="48"/>
  <c r="M50" i="48" s="1"/>
  <c r="M31" i="48" s="1"/>
  <c r="M30" i="48" s="1"/>
  <c r="L114" i="76"/>
  <c r="M69" i="76"/>
  <c r="M74" i="76" s="1"/>
  <c r="L69" i="75"/>
  <c r="L74" i="75" s="1"/>
  <c r="L76" i="75"/>
  <c r="L75" i="75" s="1"/>
  <c r="L70" i="75"/>
  <c r="M69" i="74"/>
  <c r="M74" i="74" s="1"/>
  <c r="L70" i="72"/>
  <c r="L76" i="72"/>
  <c r="L75" i="72" s="1"/>
  <c r="M70" i="72"/>
  <c r="M76" i="72"/>
  <c r="M75" i="72" s="1"/>
  <c r="M114" i="72"/>
  <c r="M70" i="71"/>
  <c r="M76" i="71"/>
  <c r="M75" i="71" s="1"/>
  <c r="M114" i="71"/>
  <c r="L76" i="71"/>
  <c r="L75" i="71" s="1"/>
  <c r="L70" i="71"/>
  <c r="L69" i="70"/>
  <c r="L74" i="70" s="1"/>
  <c r="M69" i="70"/>
  <c r="M74" i="70" s="1"/>
  <c r="L70" i="70"/>
  <c r="L76" i="70"/>
  <c r="L75" i="70" s="1"/>
  <c r="K79" i="70"/>
  <c r="K76" i="70"/>
  <c r="K75" i="70" s="1"/>
  <c r="K70" i="70"/>
  <c r="M76" i="70"/>
  <c r="M75" i="70" s="1"/>
  <c r="M70" i="70"/>
  <c r="M69" i="69"/>
  <c r="M74" i="69" s="1"/>
  <c r="M70" i="69"/>
  <c r="M76" i="69"/>
  <c r="M75" i="69" s="1"/>
  <c r="L98" i="69"/>
  <c r="L71" i="69"/>
  <c r="L99" i="69"/>
  <c r="L69" i="69"/>
  <c r="L74" i="69" s="1"/>
  <c r="M69" i="45"/>
  <c r="M74" i="45" s="1"/>
  <c r="M114" i="45"/>
  <c r="K76" i="46"/>
  <c r="K75" i="46" s="1"/>
  <c r="K79" i="46"/>
  <c r="K70" i="46"/>
  <c r="L69" i="46"/>
  <c r="L74" i="46" s="1"/>
  <c r="L70" i="46"/>
  <c r="L76" i="46"/>
  <c r="L75" i="46" s="1"/>
  <c r="M98" i="46"/>
  <c r="M71" i="46"/>
  <c r="M99" i="46"/>
  <c r="M53" i="46"/>
  <c r="M50" i="46" s="1"/>
  <c r="M31" i="46" s="1"/>
  <c r="M30" i="46" s="1"/>
  <c r="M114" i="46"/>
  <c r="M114" i="48"/>
  <c r="M76" i="49"/>
  <c r="M75" i="49" s="1"/>
  <c r="M70" i="49"/>
  <c r="L70" i="49"/>
  <c r="L76" i="49"/>
  <c r="L75" i="49" s="1"/>
  <c r="L69" i="49"/>
  <c r="L74" i="49" s="1"/>
  <c r="M114" i="49"/>
  <c r="M69" i="43"/>
  <c r="M74" i="43" s="1"/>
  <c r="M76" i="43"/>
  <c r="M75" i="43" s="1"/>
  <c r="M70" i="43"/>
  <c r="L99" i="43"/>
  <c r="L71" i="43"/>
  <c r="L98" i="43"/>
  <c r="L69" i="43"/>
  <c r="L74" i="43" s="1"/>
  <c r="M69" i="44"/>
  <c r="M74" i="44" s="1"/>
  <c r="L76" i="44"/>
  <c r="L75" i="44" s="1"/>
  <c r="L70" i="44"/>
  <c r="L69" i="44"/>
  <c r="L74" i="44" s="1"/>
  <c r="M114" i="44"/>
  <c r="M76" i="44"/>
  <c r="M75" i="44" s="1"/>
  <c r="M70" i="44"/>
  <c r="M114" i="42"/>
  <c r="M69" i="41"/>
  <c r="M74" i="41" s="1"/>
  <c r="M70" i="41"/>
  <c r="M76" i="41"/>
  <c r="M75" i="41" s="1"/>
  <c r="L69" i="41"/>
  <c r="L74" i="41" s="1"/>
  <c r="L70" i="41"/>
  <c r="L76" i="41"/>
  <c r="L75" i="41" s="1"/>
  <c r="M69" i="40"/>
  <c r="M74" i="40" s="1"/>
  <c r="L69" i="40"/>
  <c r="L74" i="40" s="1"/>
  <c r="L76" i="40"/>
  <c r="L75" i="40" s="1"/>
  <c r="L70" i="40"/>
  <c r="M70" i="40"/>
  <c r="M76" i="40"/>
  <c r="M75" i="40" s="1"/>
  <c r="L69" i="39"/>
  <c r="L74" i="39" s="1"/>
  <c r="L76" i="39"/>
  <c r="L75" i="39" s="1"/>
  <c r="L70" i="39"/>
  <c r="M114" i="39"/>
  <c r="M69" i="38"/>
  <c r="M74" i="38" s="1"/>
  <c r="L69" i="38"/>
  <c r="L74" i="38" s="1"/>
  <c r="L76" i="38"/>
  <c r="L75" i="38" s="1"/>
  <c r="L70" i="38"/>
  <c r="M76" i="38"/>
  <c r="M75" i="38" s="1"/>
  <c r="M70" i="38"/>
  <c r="L69" i="37"/>
  <c r="L74" i="37" s="1"/>
  <c r="L76" i="37"/>
  <c r="L75" i="37" s="1"/>
  <c r="L70" i="37"/>
  <c r="M69" i="36"/>
  <c r="M74" i="36" s="1"/>
  <c r="M76" i="36"/>
  <c r="M75" i="36" s="1"/>
  <c r="M70" i="36"/>
  <c r="J18" i="60"/>
  <c r="I19" i="60"/>
  <c r="C87" i="60"/>
  <c r="I65" i="60"/>
  <c r="M70" i="47" l="1"/>
  <c r="M76" i="47"/>
  <c r="M75" i="47" s="1"/>
  <c r="M69" i="48"/>
  <c r="M74" i="48" s="1"/>
  <c r="L76" i="48"/>
  <c r="L75" i="48" s="1"/>
  <c r="L70" i="48"/>
  <c r="M76" i="48"/>
  <c r="M75" i="48" s="1"/>
  <c r="M70" i="48"/>
  <c r="M114" i="76"/>
  <c r="L70" i="69"/>
  <c r="L76" i="69"/>
  <c r="L75" i="69" s="1"/>
  <c r="M69" i="46"/>
  <c r="M74" i="46" s="1"/>
  <c r="M70" i="46"/>
  <c r="M76" i="46"/>
  <c r="M75" i="46" s="1"/>
  <c r="L70" i="43"/>
  <c r="L76" i="43"/>
  <c r="L75" i="43" s="1"/>
  <c r="J19" i="60"/>
  <c r="I20" i="60"/>
  <c r="I66" i="60"/>
  <c r="J65" i="60"/>
  <c r="I21" i="60" l="1"/>
  <c r="J20" i="60"/>
  <c r="J66" i="60"/>
  <c r="I67" i="60"/>
  <c r="I22" i="60" l="1"/>
  <c r="J21" i="60"/>
  <c r="J67" i="60"/>
  <c r="I68" i="60"/>
  <c r="J22" i="60" l="1"/>
  <c r="I23" i="60"/>
  <c r="I69" i="60"/>
  <c r="J68" i="60"/>
  <c r="J23" i="60" l="1"/>
  <c r="I24" i="60"/>
  <c r="I70" i="60"/>
  <c r="J69" i="60"/>
  <c r="I25" i="60" l="1"/>
  <c r="J24" i="60"/>
  <c r="J70" i="60"/>
  <c r="I71" i="60"/>
  <c r="I26" i="60" l="1"/>
  <c r="J25" i="60"/>
  <c r="J71" i="60"/>
  <c r="I72" i="60"/>
  <c r="I27" i="60" l="1"/>
  <c r="J26" i="60"/>
  <c r="I73" i="60"/>
  <c r="J72" i="60"/>
  <c r="I28" i="60" l="1"/>
  <c r="J27" i="60"/>
  <c r="I74" i="60"/>
  <c r="J73" i="60"/>
  <c r="J28" i="60" l="1"/>
  <c r="I29" i="60"/>
  <c r="I75" i="60"/>
  <c r="J74" i="60"/>
  <c r="J29" i="60" l="1"/>
  <c r="I30" i="60"/>
  <c r="J75" i="60"/>
  <c r="I76" i="60"/>
  <c r="I31" i="60" l="1"/>
  <c r="J30" i="60"/>
  <c r="J76" i="60"/>
  <c r="I77" i="60"/>
  <c r="J31" i="60" l="1"/>
  <c r="I32" i="60"/>
  <c r="I78" i="60"/>
  <c r="J77" i="60"/>
  <c r="I33" i="60" l="1"/>
  <c r="J32" i="60"/>
  <c r="I79" i="60"/>
  <c r="J78" i="60"/>
  <c r="I34" i="60" l="1"/>
  <c r="J33" i="60"/>
  <c r="J79" i="60"/>
  <c r="I80" i="60"/>
  <c r="I35" i="60" l="1"/>
  <c r="J34" i="60"/>
  <c r="I81" i="60"/>
  <c r="J80" i="60"/>
  <c r="I36" i="60" l="1"/>
  <c r="J35" i="60"/>
  <c r="J81" i="60"/>
  <c r="I82" i="60"/>
  <c r="J36" i="60" l="1"/>
  <c r="I37" i="60"/>
  <c r="J82" i="60"/>
  <c r="I83" i="60"/>
  <c r="I38" i="60" l="1"/>
  <c r="J37" i="60"/>
  <c r="I84" i="60"/>
  <c r="J83" i="60"/>
  <c r="I39" i="60" l="1"/>
  <c r="J38" i="60"/>
  <c r="I85" i="60"/>
  <c r="J84" i="60"/>
  <c r="I40" i="60" l="1"/>
  <c r="J39" i="60"/>
  <c r="I86" i="60"/>
  <c r="J85" i="60"/>
  <c r="J40" i="60" l="1"/>
  <c r="I41" i="60"/>
  <c r="I87" i="60"/>
  <c r="J86" i="60"/>
  <c r="I42" i="60" l="1"/>
  <c r="J41" i="60"/>
  <c r="I88" i="60"/>
  <c r="J87" i="60"/>
  <c r="I43" i="60" l="1"/>
  <c r="J42" i="60"/>
  <c r="I89" i="60"/>
  <c r="J88" i="60"/>
  <c r="I44" i="60" l="1"/>
  <c r="J43" i="60"/>
  <c r="I90" i="60"/>
  <c r="J89" i="60"/>
  <c r="J44" i="60" l="1"/>
  <c r="I45" i="60"/>
  <c r="J90" i="60"/>
  <c r="I91" i="60"/>
  <c r="J45" i="60" l="1"/>
  <c r="I46" i="60"/>
  <c r="J91" i="60"/>
  <c r="I92" i="60"/>
  <c r="I47" i="60" l="1"/>
  <c r="J46" i="60"/>
  <c r="I93" i="60"/>
  <c r="J92" i="60"/>
  <c r="J47" i="60" l="1"/>
  <c r="I48" i="60"/>
  <c r="J93" i="60"/>
  <c r="I94" i="60"/>
  <c r="J48" i="60" l="1"/>
  <c r="I49" i="60"/>
  <c r="J94" i="60"/>
  <c r="I95" i="60"/>
  <c r="I50" i="60" l="1"/>
  <c r="J49" i="60"/>
  <c r="I96" i="60"/>
  <c r="J95" i="60"/>
  <c r="I51" i="60" l="1"/>
  <c r="J50" i="60"/>
  <c r="I97" i="60"/>
  <c r="J96" i="60"/>
  <c r="J51" i="60" l="1"/>
  <c r="I52" i="60"/>
  <c r="I98" i="60"/>
  <c r="J97" i="60"/>
  <c r="J52" i="60" l="1"/>
  <c r="I53" i="60"/>
  <c r="J53" i="60" s="1"/>
  <c r="J98" i="60"/>
  <c r="I99" i="60"/>
  <c r="J99" i="60" l="1"/>
  <c r="I100" i="60"/>
  <c r="I101" i="60" l="1"/>
  <c r="J100" i="60"/>
  <c r="J101" i="60" l="1"/>
  <c r="I102" i="60"/>
  <c r="J102" i="60" l="1"/>
  <c r="I103" i="60"/>
  <c r="J103" i="60" l="1"/>
  <c r="I104" i="60"/>
  <c r="I105" i="60" l="1"/>
  <c r="J104" i="60"/>
  <c r="J105" i="60" l="1"/>
  <c r="I106" i="60"/>
  <c r="J106" i="60" l="1"/>
  <c r="I107" i="60"/>
  <c r="J107" i="60" s="1"/>
  <c r="K8" i="3" l="1"/>
  <c r="K86" i="3" l="1"/>
  <c r="K170" i="3" s="1"/>
  <c r="J8" i="61"/>
  <c r="J15" i="1"/>
  <c r="M9" i="35" l="1"/>
  <c r="M42" i="35"/>
  <c r="M43" i="35" l="1"/>
  <c r="M27" i="35" s="1"/>
  <c r="L42" i="35" l="1"/>
  <c r="C143" i="60" l="1"/>
  <c r="D143" i="60"/>
  <c r="C138" i="60"/>
  <c r="C144" i="60" s="1"/>
  <c r="D123" i="60"/>
  <c r="C123" i="60"/>
  <c r="D132" i="60"/>
  <c r="D138" i="60" s="1"/>
  <c r="D144" i="60" s="1"/>
  <c r="K122" i="60" l="1"/>
  <c r="I121" i="60"/>
  <c r="J121" i="60" s="1"/>
  <c r="J120" i="60"/>
  <c r="J119" i="60"/>
  <c r="J118" i="60"/>
  <c r="J117" i="60"/>
  <c r="K11" i="85"/>
  <c r="J11" i="85"/>
  <c r="I11" i="85"/>
  <c r="H11" i="85"/>
  <c r="L11" i="85"/>
  <c r="M11" i="85"/>
  <c r="N11" i="85"/>
  <c r="O11" i="85"/>
  <c r="P11" i="85"/>
  <c r="Q11" i="85"/>
  <c r="R11" i="85"/>
  <c r="S11" i="85"/>
  <c r="T11" i="85"/>
  <c r="U11" i="85"/>
  <c r="V11" i="85"/>
  <c r="W11" i="85"/>
  <c r="X11" i="85"/>
  <c r="Y11" i="85"/>
  <c r="Z11" i="85"/>
  <c r="AA11" i="85"/>
  <c r="AB11" i="85"/>
  <c r="AC11" i="85"/>
  <c r="AD11" i="85"/>
  <c r="AE11" i="85"/>
  <c r="I122" i="60" l="1"/>
  <c r="K123" i="60"/>
  <c r="K124" i="60" s="1"/>
  <c r="K125" i="60" s="1"/>
  <c r="K126" i="60" s="1"/>
  <c r="K127" i="60" s="1"/>
  <c r="K128" i="60" s="1"/>
  <c r="K129" i="60" s="1"/>
  <c r="K130" i="60" s="1"/>
  <c r="K131" i="60" s="1"/>
  <c r="K132" i="60" s="1"/>
  <c r="K133" i="60" s="1"/>
  <c r="K134" i="60" s="1"/>
  <c r="K135" i="60" s="1"/>
  <c r="K136" i="60" s="1"/>
  <c r="K137" i="60" s="1"/>
  <c r="K138" i="60" s="1"/>
  <c r="K139" i="60" s="1"/>
  <c r="K140" i="60" s="1"/>
  <c r="K141" i="60" s="1"/>
  <c r="K142" i="60" s="1"/>
  <c r="K143" i="60" s="1"/>
  <c r="K144" i="60" s="1"/>
  <c r="K145" i="60" s="1"/>
  <c r="K146" i="60" s="1"/>
  <c r="K147" i="60" s="1"/>
  <c r="K148" i="60" s="1"/>
  <c r="K149" i="60" s="1"/>
  <c r="K150" i="60" s="1"/>
  <c r="K151" i="60" s="1"/>
  <c r="K152" i="60" s="1"/>
  <c r="K153" i="60" s="1"/>
  <c r="K154" i="60" s="1"/>
  <c r="K155" i="60" s="1"/>
  <c r="K156" i="60" s="1"/>
  <c r="K157" i="60" s="1"/>
  <c r="K158" i="60" s="1"/>
  <c r="K159" i="60" s="1"/>
  <c r="K160" i="60" s="1"/>
  <c r="K161" i="60" s="1"/>
  <c r="K162" i="60" s="1"/>
  <c r="K163" i="60" s="1"/>
  <c r="K164" i="60" s="1"/>
  <c r="J122" i="60"/>
  <c r="AE7" i="85"/>
  <c r="AD7" i="85"/>
  <c r="AC7" i="85"/>
  <c r="AB7" i="85"/>
  <c r="AA7" i="85"/>
  <c r="Z7" i="85"/>
  <c r="Y7" i="85"/>
  <c r="X7" i="85"/>
  <c r="W7" i="85"/>
  <c r="V7" i="85"/>
  <c r="U7" i="85"/>
  <c r="T7" i="85"/>
  <c r="S7" i="85"/>
  <c r="R7" i="85"/>
  <c r="Q7" i="85"/>
  <c r="P7" i="85"/>
  <c r="O7" i="85"/>
  <c r="N7" i="85"/>
  <c r="M7" i="85"/>
  <c r="L7" i="85"/>
  <c r="K7" i="85"/>
  <c r="J7" i="85"/>
  <c r="I7" i="85"/>
  <c r="H7" i="85"/>
  <c r="G7" i="85"/>
  <c r="C5" i="85"/>
  <c r="G11" i="85"/>
  <c r="I123" i="60" l="1"/>
  <c r="J123" i="60" l="1"/>
  <c r="I124" i="60"/>
  <c r="J124" i="60" l="1"/>
  <c r="I125" i="60"/>
  <c r="J8" i="3"/>
  <c r="I8" i="61" s="1"/>
  <c r="L9" i="35"/>
  <c r="J125" i="60" l="1"/>
  <c r="I126" i="60"/>
  <c r="J86" i="3"/>
  <c r="J170" i="3" s="1"/>
  <c r="J87" i="61"/>
  <c r="I15" i="1"/>
  <c r="I127" i="60" l="1"/>
  <c r="J126" i="60"/>
  <c r="K68" i="35"/>
  <c r="K42" i="35"/>
  <c r="J68" i="35"/>
  <c r="I128" i="60" l="1"/>
  <c r="J127" i="60"/>
  <c r="D191" i="60"/>
  <c r="D188" i="60"/>
  <c r="D186" i="60"/>
  <c r="J128" i="60" l="1"/>
  <c r="I129" i="60"/>
  <c r="G90" i="1"/>
  <c r="H90" i="1" s="1"/>
  <c r="I90" i="1" s="1"/>
  <c r="J90" i="1" s="1"/>
  <c r="K90" i="1" s="1"/>
  <c r="L90" i="1" s="1"/>
  <c r="G87" i="1"/>
  <c r="H87" i="1" s="1"/>
  <c r="I87" i="1" s="1"/>
  <c r="J87" i="1" s="1"/>
  <c r="K87" i="1" s="1"/>
  <c r="L87" i="1" s="1"/>
  <c r="G89" i="1"/>
  <c r="H89" i="1" s="1"/>
  <c r="I89" i="1" s="1"/>
  <c r="J89" i="1" s="1"/>
  <c r="K89" i="1" s="1"/>
  <c r="L89" i="1" s="1"/>
  <c r="G86" i="1"/>
  <c r="H86" i="1" s="1"/>
  <c r="I86" i="1" s="1"/>
  <c r="J86" i="1" s="1"/>
  <c r="K86" i="1" s="1"/>
  <c r="L86" i="1" s="1"/>
  <c r="G88" i="1"/>
  <c r="H88" i="1" s="1"/>
  <c r="I88" i="1" s="1"/>
  <c r="J88" i="1" s="1"/>
  <c r="K88" i="1" s="1"/>
  <c r="L88" i="1" s="1"/>
  <c r="J129" i="60" l="1"/>
  <c r="I130" i="60"/>
  <c r="G80" i="1"/>
  <c r="G72" i="1"/>
  <c r="G73" i="1"/>
  <c r="G63" i="1"/>
  <c r="G132" i="1" s="1"/>
  <c r="G85" i="1"/>
  <c r="H85" i="1" s="1"/>
  <c r="I85" i="1" s="1"/>
  <c r="J85" i="1" s="1"/>
  <c r="K85" i="1" s="1"/>
  <c r="L85" i="1" s="1"/>
  <c r="J130" i="60" l="1"/>
  <c r="I131" i="60"/>
  <c r="H80" i="1"/>
  <c r="G130" i="1"/>
  <c r="H73" i="1"/>
  <c r="G119" i="1"/>
  <c r="G65" i="1"/>
  <c r="G117" i="1" s="1"/>
  <c r="H72" i="1"/>
  <c r="G138" i="1"/>
  <c r="G66" i="1"/>
  <c r="G118" i="1" s="1"/>
  <c r="H63" i="1"/>
  <c r="H132" i="1" s="1"/>
  <c r="I132" i="60" l="1"/>
  <c r="J131" i="60"/>
  <c r="I80" i="1"/>
  <c r="H130" i="1"/>
  <c r="H66" i="1"/>
  <c r="H118" i="1" s="1"/>
  <c r="H65" i="1"/>
  <c r="H117" i="1" s="1"/>
  <c r="I72" i="1"/>
  <c r="H138" i="1"/>
  <c r="I73" i="1"/>
  <c r="H119" i="1"/>
  <c r="I63" i="1"/>
  <c r="I133" i="60" l="1"/>
  <c r="J132" i="60"/>
  <c r="I130" i="1"/>
  <c r="J80" i="1"/>
  <c r="I119" i="1"/>
  <c r="J73" i="1"/>
  <c r="I138" i="1"/>
  <c r="J72" i="1"/>
  <c r="I132" i="1"/>
  <c r="J63" i="1"/>
  <c r="I65" i="1"/>
  <c r="I66" i="1"/>
  <c r="J130" i="1" l="1"/>
  <c r="K80" i="1"/>
  <c r="J138" i="1"/>
  <c r="K72" i="1"/>
  <c r="J119" i="1"/>
  <c r="K73" i="1"/>
  <c r="J132" i="1"/>
  <c r="K63" i="1"/>
  <c r="I134" i="60"/>
  <c r="J133" i="60"/>
  <c r="I118" i="1"/>
  <c r="J66" i="1"/>
  <c r="I117" i="1"/>
  <c r="J65" i="1"/>
  <c r="K132" i="1" l="1"/>
  <c r="L63" i="1"/>
  <c r="L132" i="1" s="1"/>
  <c r="K138" i="1"/>
  <c r="L72" i="1"/>
  <c r="L138" i="1" s="1"/>
  <c r="K119" i="1"/>
  <c r="L73" i="1"/>
  <c r="K130" i="1"/>
  <c r="L80" i="1"/>
  <c r="L130" i="1" s="1"/>
  <c r="J117" i="1"/>
  <c r="K65" i="1"/>
  <c r="J118" i="1"/>
  <c r="K66" i="1"/>
  <c r="J134" i="60"/>
  <c r="I135" i="60"/>
  <c r="G61" i="1"/>
  <c r="K117" i="1" l="1"/>
  <c r="L65" i="1"/>
  <c r="L117" i="1" s="1"/>
  <c r="L119" i="1"/>
  <c r="K118" i="1"/>
  <c r="L66" i="1"/>
  <c r="L118" i="1"/>
  <c r="J135" i="60"/>
  <c r="I136" i="60"/>
  <c r="H61" i="1"/>
  <c r="G131" i="1"/>
  <c r="G134" i="1" s="1"/>
  <c r="G157" i="61"/>
  <c r="H157" i="61" s="1"/>
  <c r="I157" i="61" s="1"/>
  <c r="J157" i="61" s="1"/>
  <c r="K157" i="61" s="1"/>
  <c r="L157" i="61" s="1"/>
  <c r="G156" i="61"/>
  <c r="H156" i="61" s="1"/>
  <c r="I156" i="61" s="1"/>
  <c r="J156" i="61" s="1"/>
  <c r="K156" i="61" s="1"/>
  <c r="L156" i="61" s="1"/>
  <c r="G155" i="61"/>
  <c r="H155" i="61" s="1"/>
  <c r="I155" i="61" s="1"/>
  <c r="J155" i="61" s="1"/>
  <c r="K155" i="61" s="1"/>
  <c r="L155" i="61" s="1"/>
  <c r="G154" i="61"/>
  <c r="H154" i="61" s="1"/>
  <c r="I154" i="61" s="1"/>
  <c r="J154" i="61" s="1"/>
  <c r="K154" i="61" s="1"/>
  <c r="L154" i="61" s="1"/>
  <c r="G153" i="61"/>
  <c r="H153" i="61" s="1"/>
  <c r="I153" i="61" s="1"/>
  <c r="J153" i="61" s="1"/>
  <c r="K153" i="61" s="1"/>
  <c r="L153" i="61" s="1"/>
  <c r="G152" i="61"/>
  <c r="H152" i="61" s="1"/>
  <c r="I152" i="61" s="1"/>
  <c r="J152" i="61" s="1"/>
  <c r="G144" i="61"/>
  <c r="H144" i="61" s="1"/>
  <c r="I144" i="61" s="1"/>
  <c r="J144" i="61" s="1"/>
  <c r="K144" i="61" s="1"/>
  <c r="L144" i="61" s="1"/>
  <c r="G143" i="61"/>
  <c r="H143" i="61" s="1"/>
  <c r="I143" i="61" s="1"/>
  <c r="J143" i="61" s="1"/>
  <c r="K143" i="61" s="1"/>
  <c r="L143" i="61" s="1"/>
  <c r="G142" i="61"/>
  <c r="H142" i="61" s="1"/>
  <c r="I142" i="61" s="1"/>
  <c r="J142" i="61" s="1"/>
  <c r="K142" i="61" s="1"/>
  <c r="L142" i="61" s="1"/>
  <c r="G141" i="61"/>
  <c r="H141" i="61" s="1"/>
  <c r="I141" i="61" s="1"/>
  <c r="J141" i="61" s="1"/>
  <c r="K141" i="61" s="1"/>
  <c r="L141" i="61" s="1"/>
  <c r="G140" i="61"/>
  <c r="H140" i="61" s="1"/>
  <c r="I140" i="61" s="1"/>
  <c r="J140" i="61" s="1"/>
  <c r="K140" i="61" s="1"/>
  <c r="L140" i="61" s="1"/>
  <c r="G139" i="61"/>
  <c r="H139" i="61" s="1"/>
  <c r="I139" i="61" s="1"/>
  <c r="J139" i="61" s="1"/>
  <c r="K139" i="61" s="1"/>
  <c r="L139" i="61" s="1"/>
  <c r="G138" i="61"/>
  <c r="H138" i="61" s="1"/>
  <c r="I138" i="61" s="1"/>
  <c r="J138" i="61" s="1"/>
  <c r="K138" i="61" s="1"/>
  <c r="L138" i="61" s="1"/>
  <c r="G137" i="61"/>
  <c r="H137" i="61" s="1"/>
  <c r="I137" i="61" s="1"/>
  <c r="J137" i="61" s="1"/>
  <c r="G136" i="61"/>
  <c r="H136" i="61" s="1"/>
  <c r="I136" i="61" s="1"/>
  <c r="J136" i="61" s="1"/>
  <c r="K136" i="61" s="1"/>
  <c r="L136" i="61" s="1"/>
  <c r="G135" i="61"/>
  <c r="H135" i="61" s="1"/>
  <c r="I135" i="61" s="1"/>
  <c r="J135" i="61" s="1"/>
  <c r="K135" i="61" s="1"/>
  <c r="L135" i="61" s="1"/>
  <c r="G127" i="61"/>
  <c r="H127" i="61" s="1"/>
  <c r="I127" i="61" s="1"/>
  <c r="J127" i="61" s="1"/>
  <c r="K127" i="61" s="1"/>
  <c r="L127" i="61" s="1"/>
  <c r="G126" i="61"/>
  <c r="H126" i="61" s="1"/>
  <c r="I126" i="61" s="1"/>
  <c r="J126" i="61" s="1"/>
  <c r="K126" i="61" s="1"/>
  <c r="L126" i="61" s="1"/>
  <c r="G125" i="61"/>
  <c r="H125" i="61" s="1"/>
  <c r="I125" i="61" s="1"/>
  <c r="J125" i="61" s="1"/>
  <c r="K125" i="61" s="1"/>
  <c r="L125" i="61" s="1"/>
  <c r="G124" i="61"/>
  <c r="H124" i="61" s="1"/>
  <c r="I124" i="61" s="1"/>
  <c r="J124" i="61" s="1"/>
  <c r="K124" i="61" s="1"/>
  <c r="L124" i="61" s="1"/>
  <c r="G123" i="61"/>
  <c r="H123" i="61" s="1"/>
  <c r="I123" i="61" s="1"/>
  <c r="J123" i="61" s="1"/>
  <c r="J146" i="61" l="1"/>
  <c r="J181" i="61" s="1"/>
  <c r="K137" i="61"/>
  <c r="J159" i="61"/>
  <c r="J182" i="61" s="1"/>
  <c r="K152" i="61"/>
  <c r="J129" i="61"/>
  <c r="J180" i="61" s="1"/>
  <c r="K123" i="61"/>
  <c r="J136" i="60"/>
  <c r="I137" i="60"/>
  <c r="I61" i="1"/>
  <c r="H131" i="1"/>
  <c r="H134" i="1" s="1"/>
  <c r="K146" i="61" l="1"/>
  <c r="K181" i="61" s="1"/>
  <c r="L137" i="61"/>
  <c r="L146" i="61" s="1"/>
  <c r="L181" i="61" s="1"/>
  <c r="K159" i="61"/>
  <c r="K182" i="61" s="1"/>
  <c r="L152" i="61"/>
  <c r="L159" i="61" s="1"/>
  <c r="L182" i="61" s="1"/>
  <c r="K129" i="61"/>
  <c r="K180" i="61" s="1"/>
  <c r="L123" i="61"/>
  <c r="L129" i="61" s="1"/>
  <c r="L180" i="61" s="1"/>
  <c r="I138" i="60"/>
  <c r="J137" i="60"/>
  <c r="I131" i="1"/>
  <c r="I134" i="1" s="1"/>
  <c r="J61" i="1"/>
  <c r="C5" i="1"/>
  <c r="C99" i="1" s="1"/>
  <c r="C5" i="61"/>
  <c r="I159" i="61"/>
  <c r="I182" i="61" s="1"/>
  <c r="I146" i="61"/>
  <c r="I181" i="61" s="1"/>
  <c r="I129" i="61"/>
  <c r="I180" i="61" s="1"/>
  <c r="J131" i="1" l="1"/>
  <c r="J134" i="1" s="1"/>
  <c r="K61" i="1"/>
  <c r="L61" i="1" s="1"/>
  <c r="I139" i="60"/>
  <c r="J138" i="60"/>
  <c r="L131" i="1" l="1"/>
  <c r="L134" i="1" s="1"/>
  <c r="K131" i="1"/>
  <c r="K134" i="1" s="1"/>
  <c r="J139" i="60"/>
  <c r="I140" i="60"/>
  <c r="K178" i="60"/>
  <c r="K179" i="60" s="1"/>
  <c r="K180" i="60" s="1"/>
  <c r="K181" i="60" s="1"/>
  <c r="K182" i="60" s="1"/>
  <c r="K183" i="60" s="1"/>
  <c r="K184" i="60" s="1"/>
  <c r="K185" i="60" s="1"/>
  <c r="K186" i="60" s="1"/>
  <c r="K187" i="60" s="1"/>
  <c r="K188" i="60" s="1"/>
  <c r="K189" i="60" s="1"/>
  <c r="K190" i="60" s="1"/>
  <c r="K191" i="60" s="1"/>
  <c r="K192" i="60" s="1"/>
  <c r="K193" i="60" s="1"/>
  <c r="K194" i="60" s="1"/>
  <c r="K195" i="60" s="1"/>
  <c r="K196" i="60" s="1"/>
  <c r="K197" i="60" s="1"/>
  <c r="K198" i="60" s="1"/>
  <c r="K199" i="60" s="1"/>
  <c r="K200" i="60" s="1"/>
  <c r="K201" i="60" s="1"/>
  <c r="K202" i="60" s="1"/>
  <c r="K203" i="60" s="1"/>
  <c r="K204" i="60" s="1"/>
  <c r="K205" i="60" s="1"/>
  <c r="K206" i="60" s="1"/>
  <c r="K207" i="60" s="1"/>
  <c r="K208" i="60" s="1"/>
  <c r="K209" i="60" s="1"/>
  <c r="K210" i="60" s="1"/>
  <c r="K211" i="60" s="1"/>
  <c r="K212" i="60" s="1"/>
  <c r="K213" i="60" s="1"/>
  <c r="K214" i="60" s="1"/>
  <c r="K215" i="60" s="1"/>
  <c r="K216" i="60" s="1"/>
  <c r="K217" i="60" s="1"/>
  <c r="K218" i="60" s="1"/>
  <c r="K219" i="60" s="1"/>
  <c r="K220" i="60" s="1"/>
  <c r="I177" i="60"/>
  <c r="J176" i="60"/>
  <c r="J175" i="60"/>
  <c r="J174" i="60"/>
  <c r="J173" i="60"/>
  <c r="K19" i="35"/>
  <c r="K8" i="35"/>
  <c r="K45" i="35" s="1"/>
  <c r="K9" i="35"/>
  <c r="J140" i="60" l="1"/>
  <c r="I141" i="60"/>
  <c r="I178" i="60"/>
  <c r="I179" i="60" s="1"/>
  <c r="J177" i="60"/>
  <c r="J178" i="60" l="1"/>
  <c r="I142" i="60"/>
  <c r="J141" i="60"/>
  <c r="I180" i="60"/>
  <c r="J179" i="60"/>
  <c r="I143" i="60" l="1"/>
  <c r="J142" i="60"/>
  <c r="I181" i="60"/>
  <c r="J180" i="60"/>
  <c r="J143" i="60" l="1"/>
  <c r="I144" i="60"/>
  <c r="J181" i="60"/>
  <c r="I182" i="60"/>
  <c r="J144" i="60" l="1"/>
  <c r="I145" i="60"/>
  <c r="J182" i="60"/>
  <c r="I183" i="60"/>
  <c r="I146" i="60" l="1"/>
  <c r="J145" i="60"/>
  <c r="I184" i="60"/>
  <c r="J183" i="60"/>
  <c r="J146" i="60" l="1"/>
  <c r="I147" i="60"/>
  <c r="I185" i="60"/>
  <c r="J184" i="60"/>
  <c r="J147" i="60" l="1"/>
  <c r="I148" i="60"/>
  <c r="J185" i="60"/>
  <c r="I186" i="60"/>
  <c r="J148" i="60" l="1"/>
  <c r="I149" i="60"/>
  <c r="J186" i="60"/>
  <c r="I187" i="60"/>
  <c r="I150" i="60" l="1"/>
  <c r="J149" i="60"/>
  <c r="I188" i="60"/>
  <c r="J187" i="60"/>
  <c r="J150" i="60" l="1"/>
  <c r="I151" i="60"/>
  <c r="I189" i="60"/>
  <c r="J188" i="60"/>
  <c r="J151" i="60" l="1"/>
  <c r="I152" i="60"/>
  <c r="J189" i="60"/>
  <c r="I190" i="60"/>
  <c r="I153" i="60" l="1"/>
  <c r="J152" i="60"/>
  <c r="J190" i="60"/>
  <c r="I191" i="60"/>
  <c r="I154" i="60" l="1"/>
  <c r="J153" i="60"/>
  <c r="I192" i="60"/>
  <c r="J191" i="60"/>
  <c r="I155" i="60" l="1"/>
  <c r="J154" i="60"/>
  <c r="I193" i="60"/>
  <c r="J192" i="60"/>
  <c r="J155" i="60" l="1"/>
  <c r="I156" i="60"/>
  <c r="J193" i="60"/>
  <c r="I194" i="60"/>
  <c r="J156" i="60" l="1"/>
  <c r="I157" i="60"/>
  <c r="J194" i="60"/>
  <c r="I195" i="60"/>
  <c r="I158" i="60" l="1"/>
  <c r="J157" i="60"/>
  <c r="I196" i="60"/>
  <c r="J195" i="60"/>
  <c r="I159" i="60" l="1"/>
  <c r="J158" i="60"/>
  <c r="I197" i="60"/>
  <c r="J196" i="60"/>
  <c r="J159" i="60" l="1"/>
  <c r="I160" i="60"/>
  <c r="J197" i="60"/>
  <c r="I198" i="60"/>
  <c r="J160" i="60" l="1"/>
  <c r="I161" i="60"/>
  <c r="J198" i="60"/>
  <c r="I199" i="60"/>
  <c r="I162" i="60" l="1"/>
  <c r="J161" i="60"/>
  <c r="I200" i="60"/>
  <c r="J199" i="60"/>
  <c r="J162" i="60" l="1"/>
  <c r="I163" i="60"/>
  <c r="J200" i="60"/>
  <c r="I201" i="60"/>
  <c r="J163" i="60" l="1"/>
  <c r="I164" i="60"/>
  <c r="J164" i="60" s="1"/>
  <c r="I202" i="60"/>
  <c r="J201" i="60"/>
  <c r="I203" i="60" l="1"/>
  <c r="J202" i="60"/>
  <c r="J203" i="60" l="1"/>
  <c r="I204" i="60"/>
  <c r="J204" i="60" l="1"/>
  <c r="I205" i="60"/>
  <c r="I206" i="60" l="1"/>
  <c r="J205" i="60"/>
  <c r="I207" i="60" l="1"/>
  <c r="J206" i="60"/>
  <c r="J207" i="60" l="1"/>
  <c r="I208" i="60"/>
  <c r="J208" i="60" l="1"/>
  <c r="I209" i="60"/>
  <c r="I210" i="60" l="1"/>
  <c r="J209" i="60"/>
  <c r="I211" i="60" l="1"/>
  <c r="J210" i="60"/>
  <c r="J211" i="60" l="1"/>
  <c r="I212" i="60"/>
  <c r="J212" i="60" l="1"/>
  <c r="I213" i="60"/>
  <c r="I214" i="60" l="1"/>
  <c r="J213" i="60"/>
  <c r="I215" i="60" l="1"/>
  <c r="J214" i="60"/>
  <c r="J215" i="60" l="1"/>
  <c r="I216" i="60"/>
  <c r="J216" i="60" l="1"/>
  <c r="I217" i="60"/>
  <c r="I218" i="60" l="1"/>
  <c r="J217" i="60"/>
  <c r="I219" i="60" l="1"/>
  <c r="J218" i="60"/>
  <c r="J219" i="60" l="1"/>
  <c r="I220" i="60"/>
  <c r="J220" i="60" s="1"/>
  <c r="I8" i="3" l="1"/>
  <c r="H8" i="61" s="1"/>
  <c r="I86" i="3" l="1"/>
  <c r="I170" i="3" s="1"/>
  <c r="I87" i="61"/>
  <c r="H15" i="1"/>
  <c r="J50" i="35"/>
  <c r="I19" i="35"/>
  <c r="C5" i="3" l="1"/>
  <c r="C241" i="3"/>
  <c r="C85" i="3"/>
  <c r="D254" i="60"/>
  <c r="C254" i="60"/>
  <c r="K232" i="60"/>
  <c r="K233" i="60" s="1"/>
  <c r="K234" i="60" s="1"/>
  <c r="K235" i="60" s="1"/>
  <c r="K236" i="60" s="1"/>
  <c r="K237" i="60" s="1"/>
  <c r="K238" i="60" s="1"/>
  <c r="K239" i="60" s="1"/>
  <c r="K240" i="60" s="1"/>
  <c r="K241" i="60" s="1"/>
  <c r="K242" i="60" s="1"/>
  <c r="K243" i="60" s="1"/>
  <c r="K244" i="60" s="1"/>
  <c r="K245" i="60" s="1"/>
  <c r="K246" i="60" s="1"/>
  <c r="K247" i="60" s="1"/>
  <c r="K248" i="60" s="1"/>
  <c r="K249" i="60" s="1"/>
  <c r="K250" i="60" s="1"/>
  <c r="K251" i="60" s="1"/>
  <c r="K252" i="60" s="1"/>
  <c r="K253" i="60" s="1"/>
  <c r="K254" i="60" s="1"/>
  <c r="K255" i="60" s="1"/>
  <c r="K256" i="60" s="1"/>
  <c r="K257" i="60" s="1"/>
  <c r="K258" i="60" s="1"/>
  <c r="K259" i="60" s="1"/>
  <c r="K260" i="60" s="1"/>
  <c r="K261" i="60" s="1"/>
  <c r="K262" i="60" s="1"/>
  <c r="K263" i="60" s="1"/>
  <c r="K264" i="60" s="1"/>
  <c r="K265" i="60" s="1"/>
  <c r="K266" i="60" s="1"/>
  <c r="K267" i="60" s="1"/>
  <c r="K268" i="60" s="1"/>
  <c r="K269" i="60" s="1"/>
  <c r="K270" i="60" s="1"/>
  <c r="K271" i="60" s="1"/>
  <c r="K272" i="60" s="1"/>
  <c r="K273" i="60" s="1"/>
  <c r="K274" i="60" s="1"/>
  <c r="I231" i="60"/>
  <c r="J231" i="60" s="1"/>
  <c r="J230" i="60"/>
  <c r="J229" i="60"/>
  <c r="J228" i="60"/>
  <c r="J227" i="60"/>
  <c r="J19" i="35"/>
  <c r="H129" i="61"/>
  <c r="H180" i="61" s="1"/>
  <c r="G129" i="61"/>
  <c r="G180" i="61" s="1"/>
  <c r="F129" i="61"/>
  <c r="F180" i="61" s="1"/>
  <c r="F183" i="61" s="1"/>
  <c r="H146" i="61"/>
  <c r="H181" i="61" s="1"/>
  <c r="G146" i="61"/>
  <c r="G181" i="61" s="1"/>
  <c r="F146" i="61"/>
  <c r="F181" i="61" s="1"/>
  <c r="F42" i="1" s="1"/>
  <c r="H159" i="61"/>
  <c r="H182" i="61" s="1"/>
  <c r="G159" i="61"/>
  <c r="G182" i="61" s="1"/>
  <c r="F159" i="61"/>
  <c r="F182" i="61" s="1"/>
  <c r="F43" i="1" s="1"/>
  <c r="I232" i="60" l="1"/>
  <c r="I233" i="60" s="1"/>
  <c r="J232" i="60" l="1"/>
  <c r="I234" i="60"/>
  <c r="J233" i="60"/>
  <c r="I50" i="35"/>
  <c r="H8" i="3"/>
  <c r="J8" i="35"/>
  <c r="J9" i="35"/>
  <c r="H87" i="61" l="1"/>
  <c r="G8" i="61"/>
  <c r="I235" i="60"/>
  <c r="J234" i="60"/>
  <c r="H86" i="3"/>
  <c r="H170" i="3" s="1"/>
  <c r="G15" i="1"/>
  <c r="D296" i="60"/>
  <c r="D295" i="60"/>
  <c r="D294" i="60"/>
  <c r="C294" i="60"/>
  <c r="J235" i="60" l="1"/>
  <c r="I236" i="60"/>
  <c r="H9" i="35"/>
  <c r="J236" i="60" l="1"/>
  <c r="I237" i="60"/>
  <c r="D308" i="60"/>
  <c r="C308" i="60"/>
  <c r="K286" i="60"/>
  <c r="K287" i="60" s="1"/>
  <c r="K288" i="60" s="1"/>
  <c r="K289" i="60" s="1"/>
  <c r="K290" i="60" s="1"/>
  <c r="K291" i="60" s="1"/>
  <c r="K292" i="60" s="1"/>
  <c r="K293" i="60" s="1"/>
  <c r="K294" i="60" s="1"/>
  <c r="K295" i="60" s="1"/>
  <c r="K296" i="60" s="1"/>
  <c r="K297" i="60" s="1"/>
  <c r="K298" i="60" s="1"/>
  <c r="K299" i="60" s="1"/>
  <c r="K300" i="60" s="1"/>
  <c r="K301" i="60" s="1"/>
  <c r="K302" i="60" s="1"/>
  <c r="K303" i="60" s="1"/>
  <c r="K304" i="60" s="1"/>
  <c r="K305" i="60" s="1"/>
  <c r="K306" i="60" s="1"/>
  <c r="K307" i="60" s="1"/>
  <c r="K308" i="60" s="1"/>
  <c r="K309" i="60" s="1"/>
  <c r="K310" i="60" s="1"/>
  <c r="K311" i="60" s="1"/>
  <c r="K312" i="60" s="1"/>
  <c r="K313" i="60" s="1"/>
  <c r="K314" i="60" s="1"/>
  <c r="K315" i="60" s="1"/>
  <c r="K316" i="60" s="1"/>
  <c r="K317" i="60" s="1"/>
  <c r="K318" i="60" s="1"/>
  <c r="K319" i="60" s="1"/>
  <c r="K320" i="60" s="1"/>
  <c r="K321" i="60" s="1"/>
  <c r="K322" i="60" s="1"/>
  <c r="K323" i="60" s="1"/>
  <c r="K324" i="60" s="1"/>
  <c r="K325" i="60" s="1"/>
  <c r="K326" i="60" s="1"/>
  <c r="K327" i="60" s="1"/>
  <c r="K328" i="60" s="1"/>
  <c r="I285" i="60"/>
  <c r="J284" i="60"/>
  <c r="J283" i="60"/>
  <c r="J282" i="60"/>
  <c r="J281" i="60"/>
  <c r="G8" i="3"/>
  <c r="F8" i="61" s="1"/>
  <c r="N69" i="35"/>
  <c r="O69" i="35" s="1"/>
  <c r="P69" i="35" s="1"/>
  <c r="Q69" i="35" s="1"/>
  <c r="R69" i="35" s="1"/>
  <c r="S69" i="35" s="1"/>
  <c r="I238" i="60" l="1"/>
  <c r="J237" i="60"/>
  <c r="F15" i="1"/>
  <c r="G87" i="61"/>
  <c r="G86" i="3"/>
  <c r="G170" i="3" s="1"/>
  <c r="I286" i="60"/>
  <c r="I287" i="60" s="1"/>
  <c r="J285" i="60"/>
  <c r="I239" i="60" l="1"/>
  <c r="J238" i="60"/>
  <c r="J286" i="60"/>
  <c r="J287" i="60"/>
  <c r="I288" i="60"/>
  <c r="I240" i="60" l="1"/>
  <c r="J239" i="60"/>
  <c r="I289" i="60"/>
  <c r="J288" i="60"/>
  <c r="I241" i="60" l="1"/>
  <c r="J240" i="60"/>
  <c r="I290" i="60"/>
  <c r="J289" i="60"/>
  <c r="I242" i="60" l="1"/>
  <c r="J241" i="60"/>
  <c r="J290" i="60"/>
  <c r="I291" i="60"/>
  <c r="I243" i="60" l="1"/>
  <c r="J242" i="60"/>
  <c r="J291" i="60"/>
  <c r="I292" i="60"/>
  <c r="J243" i="60" l="1"/>
  <c r="I244" i="60"/>
  <c r="I293" i="60"/>
  <c r="J292" i="60"/>
  <c r="J244" i="60" l="1"/>
  <c r="I245" i="60"/>
  <c r="I294" i="60"/>
  <c r="J293" i="60"/>
  <c r="I246" i="60" l="1"/>
  <c r="J245" i="60"/>
  <c r="I295" i="60"/>
  <c r="J294" i="60"/>
  <c r="I247" i="60" l="1"/>
  <c r="J246" i="60"/>
  <c r="I296" i="60"/>
  <c r="J295" i="60"/>
  <c r="J247" i="60" l="1"/>
  <c r="I248" i="60"/>
  <c r="J296" i="60"/>
  <c r="I297" i="60"/>
  <c r="J248" i="60" l="1"/>
  <c r="I249" i="60"/>
  <c r="I298" i="60"/>
  <c r="J297" i="60"/>
  <c r="I250" i="60" l="1"/>
  <c r="J249" i="60"/>
  <c r="I299" i="60"/>
  <c r="J298" i="60"/>
  <c r="I251" i="60" l="1"/>
  <c r="J250" i="60"/>
  <c r="J299" i="60"/>
  <c r="I300" i="60"/>
  <c r="J251" i="60" l="1"/>
  <c r="I252" i="60"/>
  <c r="J300" i="60"/>
  <c r="I301" i="60"/>
  <c r="J252" i="60" l="1"/>
  <c r="I253" i="60"/>
  <c r="I302" i="60"/>
  <c r="J301" i="60"/>
  <c r="I254" i="60" l="1"/>
  <c r="J253" i="60"/>
  <c r="I303" i="60"/>
  <c r="J302" i="60"/>
  <c r="J254" i="60" l="1"/>
  <c r="I255" i="60"/>
  <c r="J303" i="60"/>
  <c r="I304" i="60"/>
  <c r="I256" i="60" l="1"/>
  <c r="J255" i="60"/>
  <c r="J304" i="60"/>
  <c r="I305" i="60"/>
  <c r="I257" i="60" l="1"/>
  <c r="J256" i="60"/>
  <c r="I306" i="60"/>
  <c r="J305" i="60"/>
  <c r="J257" i="60" l="1"/>
  <c r="I258" i="60"/>
  <c r="I307" i="60"/>
  <c r="J306" i="60"/>
  <c r="J258" i="60" l="1"/>
  <c r="I259" i="60"/>
  <c r="I308" i="60"/>
  <c r="J307" i="60"/>
  <c r="I260" i="60" l="1"/>
  <c r="J259" i="60"/>
  <c r="I309" i="60"/>
  <c r="J308" i="60"/>
  <c r="I261" i="60" l="1"/>
  <c r="J260" i="60"/>
  <c r="J309" i="60"/>
  <c r="I310" i="60"/>
  <c r="J261" i="60" l="1"/>
  <c r="I262" i="60"/>
  <c r="J310" i="60"/>
  <c r="I311" i="60"/>
  <c r="J262" i="60" l="1"/>
  <c r="I263" i="60"/>
  <c r="I312" i="60"/>
  <c r="J311" i="60"/>
  <c r="I264" i="60" l="1"/>
  <c r="J263" i="60"/>
  <c r="I313" i="60"/>
  <c r="J312" i="60"/>
  <c r="I265" i="60" l="1"/>
  <c r="J264" i="60"/>
  <c r="J313" i="60"/>
  <c r="I314" i="60"/>
  <c r="J265" i="60" l="1"/>
  <c r="I266" i="60"/>
  <c r="J314" i="60"/>
  <c r="I315" i="60"/>
  <c r="J266" i="60" l="1"/>
  <c r="I267" i="60"/>
  <c r="I316" i="60"/>
  <c r="J315" i="60"/>
  <c r="I268" i="60" l="1"/>
  <c r="J267" i="60"/>
  <c r="I317" i="60"/>
  <c r="J316" i="60"/>
  <c r="I269" i="60" l="1"/>
  <c r="J268" i="60"/>
  <c r="J317" i="60"/>
  <c r="I318" i="60"/>
  <c r="J269" i="60" l="1"/>
  <c r="I270" i="60"/>
  <c r="J318" i="60"/>
  <c r="I319" i="60"/>
  <c r="J270" i="60" l="1"/>
  <c r="I271" i="60"/>
  <c r="I320" i="60"/>
  <c r="J319" i="60"/>
  <c r="I272" i="60" l="1"/>
  <c r="J271" i="60"/>
  <c r="I321" i="60"/>
  <c r="J320" i="60"/>
  <c r="I273" i="60" l="1"/>
  <c r="J272" i="60"/>
  <c r="J321" i="60"/>
  <c r="I322" i="60"/>
  <c r="J273" i="60" l="1"/>
  <c r="I274" i="60"/>
  <c r="J274" i="60" s="1"/>
  <c r="J322" i="60"/>
  <c r="I323" i="60"/>
  <c r="I324" i="60" l="1"/>
  <c r="J323" i="60"/>
  <c r="I325" i="60" l="1"/>
  <c r="J324" i="60"/>
  <c r="J325" i="60" l="1"/>
  <c r="I326" i="60"/>
  <c r="J326" i="60" l="1"/>
  <c r="I327" i="60"/>
  <c r="I328" i="60" l="1"/>
  <c r="J328" i="60" s="1"/>
  <c r="J327" i="60"/>
  <c r="I9" i="35" l="1"/>
  <c r="D19" i="35"/>
  <c r="E19" i="35"/>
  <c r="F19" i="35"/>
  <c r="G19" i="35"/>
  <c r="H19" i="35"/>
  <c r="I8" i="35"/>
  <c r="O68" i="35" l="1"/>
  <c r="P68" i="35" s="1"/>
  <c r="Q68" i="35" s="1"/>
  <c r="R68" i="35" s="1"/>
  <c r="S68" i="35" s="1"/>
  <c r="K394" i="60"/>
  <c r="K395" i="60" s="1"/>
  <c r="K396" i="60" s="1"/>
  <c r="K397" i="60" s="1"/>
  <c r="K398" i="60" s="1"/>
  <c r="K399" i="60" s="1"/>
  <c r="K400" i="60" s="1"/>
  <c r="K401" i="60" s="1"/>
  <c r="K402" i="60" s="1"/>
  <c r="K403" i="60" s="1"/>
  <c r="K404" i="60" s="1"/>
  <c r="K405" i="60" s="1"/>
  <c r="K406" i="60" s="1"/>
  <c r="K407" i="60" s="1"/>
  <c r="K408" i="60" s="1"/>
  <c r="K409" i="60" s="1"/>
  <c r="K410" i="60" s="1"/>
  <c r="K411" i="60" s="1"/>
  <c r="K412" i="60" s="1"/>
  <c r="K413" i="60" s="1"/>
  <c r="K414" i="60" s="1"/>
  <c r="K415" i="60" s="1"/>
  <c r="K416" i="60" s="1"/>
  <c r="K417" i="60" s="1"/>
  <c r="K418" i="60" s="1"/>
  <c r="K419" i="60" s="1"/>
  <c r="K420" i="60" s="1"/>
  <c r="K421" i="60" s="1"/>
  <c r="K422" i="60" s="1"/>
  <c r="K423" i="60" s="1"/>
  <c r="K424" i="60" s="1"/>
  <c r="K425" i="60" s="1"/>
  <c r="K426" i="60" s="1"/>
  <c r="K427" i="60" s="1"/>
  <c r="K428" i="60" s="1"/>
  <c r="K429" i="60" s="1"/>
  <c r="K430" i="60" s="1"/>
  <c r="K431" i="60" s="1"/>
  <c r="K432" i="60" s="1"/>
  <c r="K433" i="60" s="1"/>
  <c r="K434" i="60" s="1"/>
  <c r="K435" i="60" s="1"/>
  <c r="K436" i="60" s="1"/>
  <c r="I393" i="60"/>
  <c r="J393" i="60" s="1"/>
  <c r="J392" i="60"/>
  <c r="J391" i="60"/>
  <c r="J390" i="60"/>
  <c r="J389" i="60"/>
  <c r="D408" i="60"/>
  <c r="C407" i="60"/>
  <c r="C404" i="60"/>
  <c r="D403" i="60"/>
  <c r="J335" i="60"/>
  <c r="K340" i="60"/>
  <c r="K341" i="60" s="1"/>
  <c r="K342" i="60" s="1"/>
  <c r="K343" i="60" s="1"/>
  <c r="K344" i="60" s="1"/>
  <c r="K345" i="60" s="1"/>
  <c r="K346" i="60" s="1"/>
  <c r="K347" i="60" s="1"/>
  <c r="K348" i="60" s="1"/>
  <c r="K349" i="60" s="1"/>
  <c r="K350" i="60" s="1"/>
  <c r="K351" i="60" s="1"/>
  <c r="K352" i="60" s="1"/>
  <c r="K353" i="60" s="1"/>
  <c r="K354" i="60" s="1"/>
  <c r="K355" i="60" s="1"/>
  <c r="K356" i="60" s="1"/>
  <c r="K357" i="60" s="1"/>
  <c r="K358" i="60" s="1"/>
  <c r="K359" i="60" s="1"/>
  <c r="K360" i="60" s="1"/>
  <c r="K361" i="60" s="1"/>
  <c r="K362" i="60" s="1"/>
  <c r="K363" i="60" s="1"/>
  <c r="K364" i="60" s="1"/>
  <c r="K365" i="60" s="1"/>
  <c r="K366" i="60" s="1"/>
  <c r="K367" i="60" s="1"/>
  <c r="K368" i="60" s="1"/>
  <c r="K369" i="60" s="1"/>
  <c r="K370" i="60" s="1"/>
  <c r="K371" i="60" s="1"/>
  <c r="K372" i="60" s="1"/>
  <c r="K373" i="60" s="1"/>
  <c r="K374" i="60" s="1"/>
  <c r="K375" i="60" s="1"/>
  <c r="K376" i="60" s="1"/>
  <c r="K377" i="60" s="1"/>
  <c r="K378" i="60" s="1"/>
  <c r="K379" i="60" s="1"/>
  <c r="K380" i="60" s="1"/>
  <c r="K381" i="60" s="1"/>
  <c r="K382" i="60" s="1"/>
  <c r="I339" i="60"/>
  <c r="J339" i="60" s="1"/>
  <c r="J338" i="60"/>
  <c r="J337" i="60"/>
  <c r="J336" i="60"/>
  <c r="D350" i="60"/>
  <c r="C350" i="60"/>
  <c r="D349" i="60"/>
  <c r="D348" i="60"/>
  <c r="C348" i="60"/>
  <c r="C362" i="60" l="1"/>
  <c r="H148" i="3"/>
  <c r="I148" i="3" s="1"/>
  <c r="J148" i="3" s="1"/>
  <c r="K148" i="3" s="1"/>
  <c r="L148" i="3" s="1"/>
  <c r="M148" i="3" s="1"/>
  <c r="H147" i="3"/>
  <c r="I147" i="3" s="1"/>
  <c r="J147" i="3" s="1"/>
  <c r="K147" i="3" s="1"/>
  <c r="L147" i="3" s="1"/>
  <c r="M147" i="3" s="1"/>
  <c r="H159" i="3"/>
  <c r="I159" i="3" s="1"/>
  <c r="J159" i="3" s="1"/>
  <c r="K159" i="3" s="1"/>
  <c r="L159" i="3" s="1"/>
  <c r="M159" i="3" s="1"/>
  <c r="H160" i="3"/>
  <c r="I160" i="3" s="1"/>
  <c r="J160" i="3" s="1"/>
  <c r="K160" i="3" s="1"/>
  <c r="L160" i="3" s="1"/>
  <c r="M160" i="3" s="1"/>
  <c r="I394" i="60"/>
  <c r="I340" i="60"/>
  <c r="AB18" i="85" l="1"/>
  <c r="AD21" i="85"/>
  <c r="AC21" i="85"/>
  <c r="AA18" i="85"/>
  <c r="AC17" i="85"/>
  <c r="W21" i="85"/>
  <c r="X21" i="85"/>
  <c r="W18" i="85"/>
  <c r="AA21" i="85"/>
  <c r="Z17" i="85"/>
  <c r="Z21" i="85"/>
  <c r="AC18" i="85"/>
  <c r="Y18" i="85"/>
  <c r="W20" i="85"/>
  <c r="X18" i="85"/>
  <c r="AB21" i="85"/>
  <c r="AE21" i="85"/>
  <c r="Y21" i="85"/>
  <c r="AC40" i="85"/>
  <c r="J394" i="60"/>
  <c r="I395" i="60"/>
  <c r="J340" i="60"/>
  <c r="I341" i="60"/>
  <c r="AD17" i="85" l="1"/>
  <c r="AD18" i="85"/>
  <c r="Y55" i="85"/>
  <c r="Z54" i="85"/>
  <c r="W52" i="85"/>
  <c r="AA54" i="85"/>
  <c r="X55" i="85"/>
  <c r="X53" i="85"/>
  <c r="AE55" i="85"/>
  <c r="AC55" i="85"/>
  <c r="AE54" i="85"/>
  <c r="AA17" i="85"/>
  <c r="AA19" i="85" s="1"/>
  <c r="AB54" i="85"/>
  <c r="AB55" i="85"/>
  <c r="Z18" i="85"/>
  <c r="Z19" i="85" s="1"/>
  <c r="Z52" i="85"/>
  <c r="AB53" i="85"/>
  <c r="AA53" i="85"/>
  <c r="Z20" i="85"/>
  <c r="Z53" i="85"/>
  <c r="X54" i="85"/>
  <c r="Z55" i="85"/>
  <c r="AC19" i="85"/>
  <c r="AD52" i="85"/>
  <c r="AD53" i="85"/>
  <c r="W55" i="85"/>
  <c r="AC53" i="85"/>
  <c r="AC52" i="85"/>
  <c r="Y53" i="85"/>
  <c r="AA55" i="85"/>
  <c r="Y52" i="85"/>
  <c r="W17" i="85"/>
  <c r="W19" i="85" s="1"/>
  <c r="W53" i="85"/>
  <c r="W54" i="85"/>
  <c r="AE52" i="85"/>
  <c r="AD54" i="85"/>
  <c r="Y54" i="85"/>
  <c r="AD55" i="85"/>
  <c r="AE53" i="85"/>
  <c r="AB52" i="85"/>
  <c r="AC54" i="85"/>
  <c r="AA52" i="85"/>
  <c r="X52" i="85"/>
  <c r="AC34" i="85"/>
  <c r="AC46" i="85"/>
  <c r="AC43" i="85"/>
  <c r="Y48" i="85"/>
  <c r="AC33" i="85"/>
  <c r="AE48" i="85"/>
  <c r="AA40" i="85"/>
  <c r="AC48" i="85"/>
  <c r="AB17" i="85"/>
  <c r="AB19" i="85" s="1"/>
  <c r="AC58" i="85"/>
  <c r="AC35" i="85"/>
  <c r="AC51" i="85"/>
  <c r="AC39" i="85"/>
  <c r="Z40" i="85"/>
  <c r="AC47" i="85"/>
  <c r="AA48" i="85"/>
  <c r="X17" i="85"/>
  <c r="X19" i="85" s="1"/>
  <c r="AD48" i="85"/>
  <c r="Y17" i="85"/>
  <c r="Y19" i="85" s="1"/>
  <c r="AD40" i="85"/>
  <c r="AB48" i="85"/>
  <c r="Z48" i="85"/>
  <c r="X48" i="85"/>
  <c r="W48" i="85"/>
  <c r="W40" i="85"/>
  <c r="I396" i="60"/>
  <c r="J395" i="60"/>
  <c r="I342" i="60"/>
  <c r="J341" i="60"/>
  <c r="AC56" i="85" l="1"/>
  <c r="AD19" i="85"/>
  <c r="AC20" i="85"/>
  <c r="AE18" i="85"/>
  <c r="AD23" i="85"/>
  <c r="Y23" i="85"/>
  <c r="Y20" i="85"/>
  <c r="AA20" i="85"/>
  <c r="AD20" i="85"/>
  <c r="AE17" i="85"/>
  <c r="AE23" i="85"/>
  <c r="AB20" i="85"/>
  <c r="AE20" i="85"/>
  <c r="AB23" i="85"/>
  <c r="W23" i="85"/>
  <c r="AC23" i="85"/>
  <c r="AA23" i="85"/>
  <c r="X23" i="85"/>
  <c r="X20" i="85"/>
  <c r="Z23" i="85"/>
  <c r="AC49" i="85"/>
  <c r="AD34" i="85"/>
  <c r="AD46" i="85"/>
  <c r="Z34" i="85"/>
  <c r="Z46" i="85"/>
  <c r="W46" i="85"/>
  <c r="W34" i="85"/>
  <c r="AA46" i="85"/>
  <c r="AA34" i="85"/>
  <c r="AA39" i="85"/>
  <c r="AA33" i="85"/>
  <c r="AA35" i="85"/>
  <c r="AA47" i="85"/>
  <c r="AA43" i="85"/>
  <c r="Z36" i="85"/>
  <c r="AA36" i="85"/>
  <c r="Y40" i="85"/>
  <c r="W58" i="85"/>
  <c r="W66" i="85"/>
  <c r="W67" i="85"/>
  <c r="X58" i="85"/>
  <c r="Z66" i="85"/>
  <c r="AB66" i="85"/>
  <c r="AD66" i="85"/>
  <c r="X40" i="85"/>
  <c r="AB40" i="85"/>
  <c r="AA58" i="85"/>
  <c r="X67" i="85"/>
  <c r="Y66" i="85"/>
  <c r="Z33" i="85"/>
  <c r="Z39" i="85"/>
  <c r="Z58" i="85"/>
  <c r="X66" i="85"/>
  <c r="Y58" i="85"/>
  <c r="Z35" i="85"/>
  <c r="Z43" i="85"/>
  <c r="AD58" i="85"/>
  <c r="Z47" i="85"/>
  <c r="W47" i="85"/>
  <c r="AD47" i="85"/>
  <c r="AE40" i="85"/>
  <c r="AD43" i="85"/>
  <c r="AD39" i="85"/>
  <c r="AD35" i="85"/>
  <c r="AD33" i="85"/>
  <c r="W43" i="85"/>
  <c r="W39" i="85"/>
  <c r="W35" i="85"/>
  <c r="W33" i="85"/>
  <c r="I397" i="60"/>
  <c r="J396" i="60"/>
  <c r="I343" i="60"/>
  <c r="J342" i="60"/>
  <c r="AE19" i="85" l="1"/>
  <c r="Z51" i="85"/>
  <c r="Z56" i="85" s="1"/>
  <c r="AA51" i="85"/>
  <c r="AA56" i="85" s="1"/>
  <c r="AD51" i="85"/>
  <c r="AD56" i="85" s="1"/>
  <c r="W51" i="85"/>
  <c r="W56" i="85" s="1"/>
  <c r="AD49" i="85"/>
  <c r="AA49" i="85"/>
  <c r="W49" i="85"/>
  <c r="Z49" i="85"/>
  <c r="AB46" i="85"/>
  <c r="AB34" i="85"/>
  <c r="Y34" i="85"/>
  <c r="Y46" i="85"/>
  <c r="AE46" i="85"/>
  <c r="AE34" i="85"/>
  <c r="X46" i="85"/>
  <c r="X34" i="85"/>
  <c r="AC66" i="85"/>
  <c r="Y36" i="85"/>
  <c r="AD36" i="85"/>
  <c r="W36" i="85"/>
  <c r="X36" i="85"/>
  <c r="Y33" i="85"/>
  <c r="X35" i="85"/>
  <c r="X39" i="85"/>
  <c r="Y51" i="85"/>
  <c r="Y56" i="85" s="1"/>
  <c r="Y67" i="85"/>
  <c r="Z67" i="85"/>
  <c r="AE59" i="85"/>
  <c r="AA66" i="85"/>
  <c r="Y43" i="85"/>
  <c r="X43" i="85"/>
  <c r="AE58" i="85"/>
  <c r="AB58" i="85"/>
  <c r="AE51" i="85"/>
  <c r="AE56" i="85" s="1"/>
  <c r="AE67" i="85"/>
  <c r="Y35" i="85"/>
  <c r="AE66" i="85"/>
  <c r="Y47" i="85"/>
  <c r="X33" i="85"/>
  <c r="AB59" i="85"/>
  <c r="AA67" i="85"/>
  <c r="AB67" i="85"/>
  <c r="AC67" i="85"/>
  <c r="AD67" i="85"/>
  <c r="Y39" i="85"/>
  <c r="X47" i="85"/>
  <c r="AB51" i="85"/>
  <c r="AB56" i="85" s="1"/>
  <c r="AB47" i="85"/>
  <c r="AB33" i="85"/>
  <c r="AB39" i="85"/>
  <c r="AB43" i="85"/>
  <c r="AB35" i="85"/>
  <c r="AB36" i="85"/>
  <c r="AC36" i="85"/>
  <c r="AE47" i="85"/>
  <c r="AE36" i="85"/>
  <c r="AE43" i="85"/>
  <c r="AE39" i="85"/>
  <c r="AE35" i="85"/>
  <c r="AE33" i="85"/>
  <c r="J397" i="60"/>
  <c r="I398" i="60"/>
  <c r="J343" i="60"/>
  <c r="I344" i="60"/>
  <c r="AB60" i="85" l="1"/>
  <c r="AA59" i="85"/>
  <c r="AA60" i="85" s="1"/>
  <c r="W59" i="85"/>
  <c r="W60" i="85" s="1"/>
  <c r="AC59" i="85"/>
  <c r="AC60" i="85" s="1"/>
  <c r="X59" i="85"/>
  <c r="X60" i="85" s="1"/>
  <c r="Z59" i="85"/>
  <c r="Z60" i="85" s="1"/>
  <c r="Y59" i="85"/>
  <c r="Y60" i="85" s="1"/>
  <c r="AD59" i="85"/>
  <c r="AD60" i="85" s="1"/>
  <c r="AE60" i="85"/>
  <c r="X22" i="85"/>
  <c r="AC22" i="85"/>
  <c r="Y22" i="85"/>
  <c r="AB22" i="85"/>
  <c r="Z22" i="85"/>
  <c r="W22" i="85"/>
  <c r="AA22" i="85"/>
  <c r="AE22" i="85"/>
  <c r="AD22" i="85"/>
  <c r="X51" i="85"/>
  <c r="X56" i="85" s="1"/>
  <c r="AE49" i="85"/>
  <c r="AB49" i="85"/>
  <c r="X49" i="85"/>
  <c r="Y49" i="85"/>
  <c r="J398" i="60"/>
  <c r="I399" i="60"/>
  <c r="J344" i="60"/>
  <c r="I345" i="60"/>
  <c r="I400" i="60" l="1"/>
  <c r="J399" i="60"/>
  <c r="I346" i="60"/>
  <c r="J345" i="60"/>
  <c r="I401" i="60" l="1"/>
  <c r="J400" i="60"/>
  <c r="I347" i="60"/>
  <c r="J346" i="60"/>
  <c r="J401" i="60" l="1"/>
  <c r="I402" i="60"/>
  <c r="J347" i="60"/>
  <c r="I348" i="60"/>
  <c r="J402" i="60" l="1"/>
  <c r="I403" i="60"/>
  <c r="J348" i="60"/>
  <c r="I349" i="60"/>
  <c r="I404" i="60" l="1"/>
  <c r="J403" i="60"/>
  <c r="I350" i="60"/>
  <c r="J349" i="60"/>
  <c r="I405" i="60" l="1"/>
  <c r="J404" i="60"/>
  <c r="I351" i="60"/>
  <c r="J350" i="60"/>
  <c r="J405" i="60" l="1"/>
  <c r="I406" i="60"/>
  <c r="J351" i="60"/>
  <c r="I352" i="60"/>
  <c r="J406" i="60" l="1"/>
  <c r="I407" i="60"/>
  <c r="J352" i="60"/>
  <c r="I353" i="60"/>
  <c r="I408" i="60" l="1"/>
  <c r="J407" i="60"/>
  <c r="I354" i="60"/>
  <c r="J353" i="60"/>
  <c r="I409" i="60" l="1"/>
  <c r="J408" i="60"/>
  <c r="I355" i="60"/>
  <c r="J354" i="60"/>
  <c r="J409" i="60" l="1"/>
  <c r="I410" i="60"/>
  <c r="J355" i="60"/>
  <c r="I356" i="60"/>
  <c r="J410" i="60" l="1"/>
  <c r="I411" i="60"/>
  <c r="J356" i="60"/>
  <c r="I357" i="60"/>
  <c r="I412" i="60" l="1"/>
  <c r="J411" i="60"/>
  <c r="I358" i="60"/>
  <c r="J357" i="60"/>
  <c r="I413" i="60" l="1"/>
  <c r="J412" i="60"/>
  <c r="I359" i="60"/>
  <c r="J358" i="60"/>
  <c r="J413" i="60" l="1"/>
  <c r="I414" i="60"/>
  <c r="J359" i="60"/>
  <c r="I360" i="60"/>
  <c r="J414" i="60" l="1"/>
  <c r="I415" i="60"/>
  <c r="J360" i="60"/>
  <c r="I361" i="60"/>
  <c r="I416" i="60" l="1"/>
  <c r="J415" i="60"/>
  <c r="I362" i="60"/>
  <c r="J361" i="60"/>
  <c r="I417" i="60" l="1"/>
  <c r="J416" i="60"/>
  <c r="I363" i="60"/>
  <c r="J362" i="60"/>
  <c r="J417" i="60" l="1"/>
  <c r="I418" i="60"/>
  <c r="J363" i="60"/>
  <c r="I364" i="60"/>
  <c r="J418" i="60" l="1"/>
  <c r="I419" i="60"/>
  <c r="J364" i="60"/>
  <c r="I365" i="60"/>
  <c r="I420" i="60" l="1"/>
  <c r="J419" i="60"/>
  <c r="I366" i="60"/>
  <c r="J365" i="60"/>
  <c r="I421" i="60" l="1"/>
  <c r="J420" i="60"/>
  <c r="I367" i="60"/>
  <c r="J366" i="60"/>
  <c r="J421" i="60" l="1"/>
  <c r="I422" i="60"/>
  <c r="J367" i="60"/>
  <c r="I368" i="60"/>
  <c r="J422" i="60" l="1"/>
  <c r="I423" i="60"/>
  <c r="J368" i="60"/>
  <c r="I369" i="60"/>
  <c r="I424" i="60" l="1"/>
  <c r="J423" i="60"/>
  <c r="I370" i="60"/>
  <c r="J369" i="60"/>
  <c r="I425" i="60" l="1"/>
  <c r="J424" i="60"/>
  <c r="I371" i="60"/>
  <c r="J370" i="60"/>
  <c r="J425" i="60" l="1"/>
  <c r="I426" i="60"/>
  <c r="J371" i="60"/>
  <c r="I372" i="60"/>
  <c r="J426" i="60" l="1"/>
  <c r="I427" i="60"/>
  <c r="J372" i="60"/>
  <c r="I373" i="60"/>
  <c r="I428" i="60" l="1"/>
  <c r="J427" i="60"/>
  <c r="I374" i="60"/>
  <c r="J373" i="60"/>
  <c r="I429" i="60" l="1"/>
  <c r="J428" i="60"/>
  <c r="I375" i="60"/>
  <c r="J374" i="60"/>
  <c r="J429" i="60" l="1"/>
  <c r="I430" i="60"/>
  <c r="J375" i="60"/>
  <c r="I376" i="60"/>
  <c r="J430" i="60" l="1"/>
  <c r="I431" i="60"/>
  <c r="J376" i="60"/>
  <c r="I377" i="60"/>
  <c r="I432" i="60" l="1"/>
  <c r="J431" i="60"/>
  <c r="I378" i="60"/>
  <c r="J377" i="60"/>
  <c r="I433" i="60" l="1"/>
  <c r="J432" i="60"/>
  <c r="I379" i="60"/>
  <c r="J378" i="60"/>
  <c r="J433" i="60" l="1"/>
  <c r="I434" i="60"/>
  <c r="J379" i="60"/>
  <c r="I380" i="60"/>
  <c r="J434" i="60" l="1"/>
  <c r="I435" i="60"/>
  <c r="J380" i="60"/>
  <c r="I381" i="60"/>
  <c r="I436" i="60" l="1"/>
  <c r="J436" i="60" s="1"/>
  <c r="J435" i="60"/>
  <c r="I382" i="60"/>
  <c r="J382" i="60" s="1"/>
  <c r="J381" i="60"/>
  <c r="G29" i="35" l="1"/>
  <c r="H42" i="35" l="1"/>
  <c r="G42" i="35"/>
  <c r="G43" i="35" s="1"/>
  <c r="D362" i="60"/>
  <c r="G455" i="60"/>
  <c r="G456" i="60" s="1"/>
  <c r="G457" i="60" s="1"/>
  <c r="G458" i="60" s="1"/>
  <c r="G459" i="60" s="1"/>
  <c r="G460" i="60" s="1"/>
  <c r="G461" i="60" s="1"/>
  <c r="G462" i="60" s="1"/>
  <c r="G463" i="60" s="1"/>
  <c r="G464" i="60" s="1"/>
  <c r="G465" i="60" s="1"/>
  <c r="G466" i="60" s="1"/>
  <c r="G467" i="60" s="1"/>
  <c r="G468" i="60" s="1"/>
  <c r="G469" i="60" s="1"/>
  <c r="G470" i="60" s="1"/>
  <c r="G471" i="60" s="1"/>
  <c r="G472" i="60" s="1"/>
  <c r="G473" i="60" s="1"/>
  <c r="G474" i="60" s="1"/>
  <c r="G475" i="60" s="1"/>
  <c r="G476" i="60" s="1"/>
  <c r="G477" i="60" s="1"/>
  <c r="G478" i="60" s="1"/>
  <c r="G479" i="60" s="1"/>
  <c r="G480" i="60" s="1"/>
  <c r="G481" i="60" s="1"/>
  <c r="G482" i="60" s="1"/>
  <c r="G483" i="60" s="1"/>
  <c r="G484" i="60" s="1"/>
  <c r="G485" i="60" s="1"/>
  <c r="G486" i="60" s="1"/>
  <c r="G487" i="60" s="1"/>
  <c r="G488" i="60" s="1"/>
  <c r="G489" i="60" s="1"/>
  <c r="G490" i="60" s="1"/>
  <c r="G510" i="60"/>
  <c r="G511" i="60" s="1"/>
  <c r="G512" i="60" s="1"/>
  <c r="G513" i="60" s="1"/>
  <c r="G514" i="60" s="1"/>
  <c r="G515" i="60" s="1"/>
  <c r="G516" i="60" s="1"/>
  <c r="G517" i="60" s="1"/>
  <c r="G518" i="60" s="1"/>
  <c r="G519" i="60" s="1"/>
  <c r="G520" i="60" s="1"/>
  <c r="G521" i="60" s="1"/>
  <c r="G522" i="60" s="1"/>
  <c r="G523" i="60" s="1"/>
  <c r="G524" i="60" s="1"/>
  <c r="G525" i="60" s="1"/>
  <c r="G526" i="60" s="1"/>
  <c r="G527" i="60" s="1"/>
  <c r="G528" i="60" s="1"/>
  <c r="G529" i="60" s="1"/>
  <c r="G530" i="60" s="1"/>
  <c r="G531" i="60" s="1"/>
  <c r="G532" i="60" s="1"/>
  <c r="G533" i="60" s="1"/>
  <c r="G534" i="60" s="1"/>
  <c r="G535" i="60" s="1"/>
  <c r="G536" i="60" s="1"/>
  <c r="G537" i="60" s="1"/>
  <c r="G538" i="60" s="1"/>
  <c r="G539" i="60" s="1"/>
  <c r="G540" i="60" s="1"/>
  <c r="G541" i="60" s="1"/>
  <c r="G542" i="60" s="1"/>
  <c r="G543" i="60" s="1"/>
  <c r="G544" i="60" s="1"/>
  <c r="G545" i="60" s="1"/>
  <c r="G565" i="60"/>
  <c r="G566" i="60" s="1"/>
  <c r="G567" i="60" s="1"/>
  <c r="G568" i="60" s="1"/>
  <c r="G569" i="60" s="1"/>
  <c r="G570" i="60" s="1"/>
  <c r="G571" i="60" s="1"/>
  <c r="G572" i="60" s="1"/>
  <c r="G573" i="60" s="1"/>
  <c r="G574" i="60" s="1"/>
  <c r="G575" i="60" s="1"/>
  <c r="G576" i="60" s="1"/>
  <c r="G577" i="60" s="1"/>
  <c r="G578" i="60" s="1"/>
  <c r="G579" i="60" s="1"/>
  <c r="G580" i="60" s="1"/>
  <c r="G581" i="60" s="1"/>
  <c r="G582" i="60" s="1"/>
  <c r="G583" i="60" s="1"/>
  <c r="G584" i="60" s="1"/>
  <c r="G585" i="60" s="1"/>
  <c r="G586" i="60" s="1"/>
  <c r="G587" i="60" s="1"/>
  <c r="G588" i="60" s="1"/>
  <c r="G589" i="60" s="1"/>
  <c r="G590" i="60" s="1"/>
  <c r="G591" i="60" s="1"/>
  <c r="G592" i="60" s="1"/>
  <c r="G593" i="60" s="1"/>
  <c r="G594" i="60" s="1"/>
  <c r="G595" i="60" s="1"/>
  <c r="G596" i="60" s="1"/>
  <c r="G597" i="60" s="1"/>
  <c r="G598" i="60" s="1"/>
  <c r="G599" i="60" s="1"/>
  <c r="G600" i="60" s="1"/>
  <c r="G620" i="60"/>
  <c r="G621" i="60" s="1"/>
  <c r="G622" i="60" s="1"/>
  <c r="G623" i="60" s="1"/>
  <c r="G624" i="60" s="1"/>
  <c r="G625" i="60" s="1"/>
  <c r="G626" i="60" s="1"/>
  <c r="G627" i="60" s="1"/>
  <c r="G628" i="60" s="1"/>
  <c r="G629" i="60" s="1"/>
  <c r="G630" i="60" s="1"/>
  <c r="G631" i="60" s="1"/>
  <c r="G632" i="60" s="1"/>
  <c r="G633" i="60" s="1"/>
  <c r="G634" i="60" s="1"/>
  <c r="G635" i="60" s="1"/>
  <c r="G636" i="60" s="1"/>
  <c r="G637" i="60" s="1"/>
  <c r="G638" i="60" s="1"/>
  <c r="G639" i="60" s="1"/>
  <c r="G640" i="60" s="1"/>
  <c r="G641" i="60" s="1"/>
  <c r="G642" i="60" s="1"/>
  <c r="G643" i="60" s="1"/>
  <c r="G644" i="60" s="1"/>
  <c r="G645" i="60" s="1"/>
  <c r="G646" i="60" s="1"/>
  <c r="G647" i="60" s="1"/>
  <c r="G648" i="60" s="1"/>
  <c r="G649" i="60" s="1"/>
  <c r="G650" i="60" s="1"/>
  <c r="G651" i="60" s="1"/>
  <c r="G652" i="60" s="1"/>
  <c r="G653" i="60" s="1"/>
  <c r="G654" i="60" s="1"/>
  <c r="G655" i="60" s="1"/>
  <c r="D26" i="35"/>
  <c r="D27" i="35" s="1"/>
  <c r="C26" i="35"/>
  <c r="C27" i="35" s="1"/>
  <c r="G9" i="35"/>
  <c r="G96" i="61"/>
  <c r="H96" i="61" s="1"/>
  <c r="I96" i="61" s="1"/>
  <c r="J96" i="61" s="1"/>
  <c r="K96" i="61" s="1"/>
  <c r="L96" i="61" s="1"/>
  <c r="F42" i="35"/>
  <c r="F43" i="35" s="1"/>
  <c r="G114" i="61"/>
  <c r="H114" i="61" s="1"/>
  <c r="I114" i="61" s="1"/>
  <c r="J114" i="61" s="1"/>
  <c r="K114" i="61" s="1"/>
  <c r="L114" i="61" s="1"/>
  <c r="G113" i="61"/>
  <c r="H113" i="61" s="1"/>
  <c r="I113" i="61" s="1"/>
  <c r="J113" i="61" s="1"/>
  <c r="K113" i="61" s="1"/>
  <c r="L113" i="61" s="1"/>
  <c r="G112" i="61"/>
  <c r="H112" i="61" s="1"/>
  <c r="I112" i="61" s="1"/>
  <c r="J112" i="61" s="1"/>
  <c r="K112" i="61" s="1"/>
  <c r="L112" i="61" s="1"/>
  <c r="G111" i="61"/>
  <c r="H111" i="61" s="1"/>
  <c r="I111" i="61" s="1"/>
  <c r="J111" i="61" s="1"/>
  <c r="K111" i="61" s="1"/>
  <c r="L111" i="61" s="1"/>
  <c r="G110" i="61"/>
  <c r="H110" i="61" s="1"/>
  <c r="I110" i="61" s="1"/>
  <c r="J110" i="61" s="1"/>
  <c r="K110" i="61" s="1"/>
  <c r="L110" i="61" s="1"/>
  <c r="G109" i="61"/>
  <c r="H109" i="61" s="1"/>
  <c r="I109" i="61" s="1"/>
  <c r="J109" i="61" s="1"/>
  <c r="K109" i="61" s="1"/>
  <c r="L109" i="61" s="1"/>
  <c r="G108" i="61"/>
  <c r="H108" i="61" s="1"/>
  <c r="I108" i="61" s="1"/>
  <c r="J108" i="61" s="1"/>
  <c r="K108" i="61" s="1"/>
  <c r="L108" i="61" s="1"/>
  <c r="G107" i="61"/>
  <c r="H107" i="61" s="1"/>
  <c r="I107" i="61" s="1"/>
  <c r="J107" i="61" s="1"/>
  <c r="K107" i="61" s="1"/>
  <c r="L107" i="61" s="1"/>
  <c r="G106" i="61"/>
  <c r="H106" i="61" s="1"/>
  <c r="I106" i="61" s="1"/>
  <c r="J106" i="61" s="1"/>
  <c r="K106" i="61" s="1"/>
  <c r="L106" i="61" s="1"/>
  <c r="G105" i="61"/>
  <c r="H105" i="61" s="1"/>
  <c r="I105" i="61" s="1"/>
  <c r="J105" i="61" s="1"/>
  <c r="K105" i="61" s="1"/>
  <c r="L105" i="61" s="1"/>
  <c r="G104" i="61"/>
  <c r="H104" i="61" s="1"/>
  <c r="I104" i="61" s="1"/>
  <c r="J104" i="61" s="1"/>
  <c r="K104" i="61" s="1"/>
  <c r="L104" i="61" s="1"/>
  <c r="G103" i="61"/>
  <c r="H103" i="61" s="1"/>
  <c r="I103" i="61" s="1"/>
  <c r="J103" i="61" s="1"/>
  <c r="K103" i="61" s="1"/>
  <c r="L103" i="61" s="1"/>
  <c r="G102" i="61"/>
  <c r="H102" i="61" s="1"/>
  <c r="I102" i="61" s="1"/>
  <c r="J102" i="61" s="1"/>
  <c r="K102" i="61" s="1"/>
  <c r="L102" i="61" s="1"/>
  <c r="G97" i="61"/>
  <c r="H97" i="61" s="1"/>
  <c r="I97" i="61" s="1"/>
  <c r="J97" i="61" s="1"/>
  <c r="K97" i="61" s="1"/>
  <c r="L97" i="61" s="1"/>
  <c r="G95" i="61"/>
  <c r="H95" i="61" s="1"/>
  <c r="I95" i="61" s="1"/>
  <c r="J95" i="61" s="1"/>
  <c r="K95" i="61" s="1"/>
  <c r="L95" i="61" s="1"/>
  <c r="G93" i="61"/>
  <c r="H93" i="61" s="1"/>
  <c r="I93" i="61" s="1"/>
  <c r="J93" i="61" s="1"/>
  <c r="K93" i="61" s="1"/>
  <c r="L93" i="61" s="1"/>
  <c r="G77" i="61"/>
  <c r="H77" i="61" s="1"/>
  <c r="I77" i="61" s="1"/>
  <c r="J77" i="61" s="1"/>
  <c r="K77" i="61" s="1"/>
  <c r="L77" i="61" s="1"/>
  <c r="G76" i="61"/>
  <c r="H76" i="61" s="1"/>
  <c r="I76" i="61" s="1"/>
  <c r="J76" i="61" s="1"/>
  <c r="K76" i="61" s="1"/>
  <c r="L76" i="61" s="1"/>
  <c r="G65" i="61"/>
  <c r="H65" i="61" s="1"/>
  <c r="I65" i="61" s="1"/>
  <c r="J65" i="61" s="1"/>
  <c r="K65" i="61" s="1"/>
  <c r="L65" i="61" s="1"/>
  <c r="G64" i="61"/>
  <c r="H64" i="61" s="1"/>
  <c r="I64" i="61" s="1"/>
  <c r="J64" i="61" s="1"/>
  <c r="K64" i="61" s="1"/>
  <c r="L64" i="61" s="1"/>
  <c r="G63" i="61"/>
  <c r="H63" i="61" s="1"/>
  <c r="I63" i="61" s="1"/>
  <c r="J63" i="61" s="1"/>
  <c r="K63" i="61" s="1"/>
  <c r="L63" i="61" s="1"/>
  <c r="G51" i="61"/>
  <c r="H51" i="61" s="1"/>
  <c r="I51" i="61" s="1"/>
  <c r="J51" i="61" s="1"/>
  <c r="K51" i="61" s="1"/>
  <c r="L51" i="61" s="1"/>
  <c r="G50" i="61"/>
  <c r="H50" i="61" s="1"/>
  <c r="I50" i="61" s="1"/>
  <c r="J50" i="61" s="1"/>
  <c r="K50" i="61" s="1"/>
  <c r="L50" i="61" s="1"/>
  <c r="G49" i="61"/>
  <c r="H49" i="61" s="1"/>
  <c r="I49" i="61" s="1"/>
  <c r="J49" i="61" s="1"/>
  <c r="K49" i="61" s="1"/>
  <c r="L49" i="61" s="1"/>
  <c r="G48" i="61"/>
  <c r="H48" i="61" s="1"/>
  <c r="I48" i="61" s="1"/>
  <c r="J48" i="61" s="1"/>
  <c r="K48" i="61" s="1"/>
  <c r="L48" i="61" s="1"/>
  <c r="G47" i="61"/>
  <c r="H47" i="61" s="1"/>
  <c r="I47" i="61" s="1"/>
  <c r="J47" i="61" s="1"/>
  <c r="K47" i="61" s="1"/>
  <c r="L47" i="61" s="1"/>
  <c r="G46" i="61"/>
  <c r="H46" i="61" s="1"/>
  <c r="I46" i="61" s="1"/>
  <c r="J46" i="61" s="1"/>
  <c r="K46" i="61" s="1"/>
  <c r="L46" i="61" s="1"/>
  <c r="G45" i="61"/>
  <c r="H45" i="61" s="1"/>
  <c r="I45" i="61" s="1"/>
  <c r="J45" i="61" s="1"/>
  <c r="K45" i="61" s="1"/>
  <c r="L45" i="61" s="1"/>
  <c r="G44" i="61"/>
  <c r="H44" i="61" s="1"/>
  <c r="I44" i="61" s="1"/>
  <c r="J44" i="61" s="1"/>
  <c r="K44" i="61" s="1"/>
  <c r="L44" i="61" s="1"/>
  <c r="G43" i="61"/>
  <c r="H43" i="61" s="1"/>
  <c r="I43" i="61" s="1"/>
  <c r="J43" i="61" s="1"/>
  <c r="K43" i="61" s="1"/>
  <c r="L43" i="61" s="1"/>
  <c r="G39" i="61"/>
  <c r="H39" i="61" s="1"/>
  <c r="I39" i="61" s="1"/>
  <c r="J39" i="61" s="1"/>
  <c r="K39" i="61" s="1"/>
  <c r="L39" i="61" s="1"/>
  <c r="G38" i="61"/>
  <c r="H38" i="61" s="1"/>
  <c r="I38" i="61" s="1"/>
  <c r="J38" i="61" s="1"/>
  <c r="K38" i="61" s="1"/>
  <c r="L38" i="61" s="1"/>
  <c r="G37" i="61"/>
  <c r="H37" i="61" s="1"/>
  <c r="I37" i="61" s="1"/>
  <c r="J37" i="61" s="1"/>
  <c r="K37" i="61" s="1"/>
  <c r="L37" i="61" s="1"/>
  <c r="G36" i="61"/>
  <c r="H36" i="61" s="1"/>
  <c r="I36" i="61" s="1"/>
  <c r="J36" i="61" s="1"/>
  <c r="K36" i="61" s="1"/>
  <c r="L36" i="61" s="1"/>
  <c r="G35" i="61"/>
  <c r="H35" i="61" s="1"/>
  <c r="I35" i="61" s="1"/>
  <c r="J35" i="61" s="1"/>
  <c r="K35" i="61" s="1"/>
  <c r="L35" i="61" s="1"/>
  <c r="G33" i="61"/>
  <c r="H33" i="61" s="1"/>
  <c r="I33" i="61" s="1"/>
  <c r="J33" i="61" s="1"/>
  <c r="K33" i="61" s="1"/>
  <c r="L33" i="61" s="1"/>
  <c r="G32" i="61"/>
  <c r="H32" i="61" s="1"/>
  <c r="I32" i="61" s="1"/>
  <c r="J32" i="61" s="1"/>
  <c r="K32" i="61" s="1"/>
  <c r="L32" i="61" s="1"/>
  <c r="G31" i="61"/>
  <c r="H31" i="61" s="1"/>
  <c r="I31" i="61" s="1"/>
  <c r="J31" i="61" s="1"/>
  <c r="K31" i="61" s="1"/>
  <c r="L31" i="61" s="1"/>
  <c r="G18" i="61"/>
  <c r="H18" i="61" s="1"/>
  <c r="I18" i="61" s="1"/>
  <c r="J18" i="61" s="1"/>
  <c r="K18" i="61" s="1"/>
  <c r="L18" i="61" s="1"/>
  <c r="G30" i="35"/>
  <c r="G31" i="35"/>
  <c r="G32" i="35"/>
  <c r="G33" i="35"/>
  <c r="G34" i="35"/>
  <c r="G35" i="35"/>
  <c r="G36" i="35"/>
  <c r="G37" i="35"/>
  <c r="G38" i="35"/>
  <c r="G40" i="35"/>
  <c r="F29" i="35"/>
  <c r="F30" i="35"/>
  <c r="F31" i="35"/>
  <c r="F32" i="35"/>
  <c r="F33" i="35"/>
  <c r="F34" i="35"/>
  <c r="F35" i="35"/>
  <c r="F36" i="35"/>
  <c r="F37" i="35"/>
  <c r="F38" i="35"/>
  <c r="D29" i="35"/>
  <c r="D30" i="35"/>
  <c r="D31" i="35"/>
  <c r="D32" i="35"/>
  <c r="D33" i="35"/>
  <c r="D34" i="35"/>
  <c r="D35" i="35"/>
  <c r="D36" i="35"/>
  <c r="D37" i="35"/>
  <c r="D38" i="35"/>
  <c r="C29" i="35"/>
  <c r="C30" i="35"/>
  <c r="C31" i="35"/>
  <c r="C32" i="35"/>
  <c r="C33" i="35"/>
  <c r="C34" i="35"/>
  <c r="D40" i="35"/>
  <c r="F40" i="35"/>
  <c r="G15" i="61"/>
  <c r="G23" i="61"/>
  <c r="H23" i="61" s="1"/>
  <c r="I23" i="61" s="1"/>
  <c r="J23" i="61" s="1"/>
  <c r="K23" i="61" s="1"/>
  <c r="L23" i="61" s="1"/>
  <c r="G24" i="61"/>
  <c r="H24" i="61" s="1"/>
  <c r="I24" i="61" s="1"/>
  <c r="J24" i="61" s="1"/>
  <c r="K24" i="61" s="1"/>
  <c r="L24" i="61" s="1"/>
  <c r="G25" i="61"/>
  <c r="H25" i="61" s="1"/>
  <c r="I25" i="61" s="1"/>
  <c r="J25" i="61" s="1"/>
  <c r="K25" i="61" s="1"/>
  <c r="L25" i="61" s="1"/>
  <c r="G26" i="61"/>
  <c r="H26" i="61" s="1"/>
  <c r="I26" i="61" s="1"/>
  <c r="J26" i="61" s="1"/>
  <c r="K26" i="61" s="1"/>
  <c r="L26" i="61" s="1"/>
  <c r="E29" i="35"/>
  <c r="E30" i="35"/>
  <c r="E31" i="35"/>
  <c r="E32" i="35"/>
  <c r="E33" i="35"/>
  <c r="E34" i="35"/>
  <c r="E35" i="35"/>
  <c r="E36" i="35"/>
  <c r="E37" i="35"/>
  <c r="E38" i="35"/>
  <c r="E40" i="35"/>
  <c r="D416" i="60"/>
  <c r="C416" i="60"/>
  <c r="G8" i="35"/>
  <c r="F9" i="35"/>
  <c r="E9" i="35"/>
  <c r="D9" i="35"/>
  <c r="D8" i="35"/>
  <c r="F8" i="35"/>
  <c r="E8" i="35"/>
  <c r="O45" i="35"/>
  <c r="P45" i="35" s="1"/>
  <c r="Q45" i="35" s="1"/>
  <c r="R45" i="35" s="1"/>
  <c r="S45" i="35" s="1"/>
  <c r="O52" i="35"/>
  <c r="P52" i="35" s="1"/>
  <c r="Q52" i="35" s="1"/>
  <c r="R52" i="35" s="1"/>
  <c r="S52" i="35" s="1"/>
  <c r="O57" i="35"/>
  <c r="P57" i="35" s="1"/>
  <c r="Q57" i="35" s="1"/>
  <c r="R57" i="35" s="1"/>
  <c r="S57" i="35" s="1"/>
  <c r="H12" i="35"/>
  <c r="I12" i="35" s="1"/>
  <c r="H13" i="35"/>
  <c r="H32" i="35" s="1"/>
  <c r="H14" i="35"/>
  <c r="H34" i="35" s="1"/>
  <c r="H8" i="35"/>
  <c r="H15" i="35"/>
  <c r="H35" i="35" s="1"/>
  <c r="H16" i="35"/>
  <c r="H38" i="35" s="1"/>
  <c r="D42" i="35"/>
  <c r="D39" i="35" s="1"/>
  <c r="H17" i="35"/>
  <c r="O53" i="35"/>
  <c r="P53" i="35" s="1"/>
  <c r="Q53" i="35" s="1"/>
  <c r="R53" i="35" s="1"/>
  <c r="S53" i="35" s="1"/>
  <c r="E42" i="35"/>
  <c r="E43" i="35" s="1"/>
  <c r="D4" i="35"/>
  <c r="H18" i="35"/>
  <c r="I18" i="35" s="1"/>
  <c r="J18" i="35" s="1"/>
  <c r="K18" i="35" s="1"/>
  <c r="L18" i="35" s="1"/>
  <c r="M18" i="35" s="1"/>
  <c r="N18" i="35" s="1"/>
  <c r="O18" i="35" s="1"/>
  <c r="P18" i="35" s="1"/>
  <c r="Q18" i="35" s="1"/>
  <c r="R18" i="35" s="1"/>
  <c r="S18" i="35" s="1"/>
  <c r="O10" i="35"/>
  <c r="P10" i="35" s="1"/>
  <c r="Q10" i="35" s="1"/>
  <c r="R10" i="35" s="1"/>
  <c r="S10" i="35" s="1"/>
  <c r="K448" i="60"/>
  <c r="K449" i="60" s="1"/>
  <c r="K450" i="60" s="1"/>
  <c r="K451" i="60" s="1"/>
  <c r="K452" i="60" s="1"/>
  <c r="K453" i="60" s="1"/>
  <c r="K454" i="60" s="1"/>
  <c r="K455" i="60" s="1"/>
  <c r="K456" i="60" s="1"/>
  <c r="K457" i="60" s="1"/>
  <c r="K458" i="60" s="1"/>
  <c r="K459" i="60" s="1"/>
  <c r="K460" i="60" s="1"/>
  <c r="K461" i="60" s="1"/>
  <c r="K462" i="60" s="1"/>
  <c r="K463" i="60" s="1"/>
  <c r="K464" i="60" s="1"/>
  <c r="K465" i="60" s="1"/>
  <c r="K466" i="60" s="1"/>
  <c r="K467" i="60" s="1"/>
  <c r="K468" i="60" s="1"/>
  <c r="K469" i="60" s="1"/>
  <c r="K470" i="60" s="1"/>
  <c r="K471" i="60" s="1"/>
  <c r="K472" i="60" s="1"/>
  <c r="K473" i="60" s="1"/>
  <c r="K474" i="60" s="1"/>
  <c r="K475" i="60" s="1"/>
  <c r="K476" i="60" s="1"/>
  <c r="K477" i="60" s="1"/>
  <c r="K478" i="60" s="1"/>
  <c r="K479" i="60" s="1"/>
  <c r="K480" i="60" s="1"/>
  <c r="K481" i="60" s="1"/>
  <c r="K482" i="60" s="1"/>
  <c r="K483" i="60" s="1"/>
  <c r="K484" i="60" s="1"/>
  <c r="K485" i="60" s="1"/>
  <c r="K486" i="60" s="1"/>
  <c r="K487" i="60" s="1"/>
  <c r="K488" i="60" s="1"/>
  <c r="K489" i="60" s="1"/>
  <c r="K490" i="60" s="1"/>
  <c r="J446" i="60"/>
  <c r="J445" i="60"/>
  <c r="J444" i="60"/>
  <c r="J443" i="60"/>
  <c r="I447" i="60"/>
  <c r="J447" i="60" s="1"/>
  <c r="D470" i="60"/>
  <c r="C470" i="60"/>
  <c r="C42" i="35"/>
  <c r="C39" i="35" s="1"/>
  <c r="C38" i="35"/>
  <c r="C37" i="35"/>
  <c r="C36" i="35"/>
  <c r="C35" i="35"/>
  <c r="C40" i="35"/>
  <c r="K596" i="60"/>
  <c r="K597" i="60" s="1"/>
  <c r="K598" i="60" s="1"/>
  <c r="K599" i="60" s="1"/>
  <c r="K600" i="60" s="1"/>
  <c r="D635" i="60"/>
  <c r="C635" i="60"/>
  <c r="D580" i="60"/>
  <c r="C580" i="60"/>
  <c r="C525" i="60"/>
  <c r="D525" i="60"/>
  <c r="J498" i="60"/>
  <c r="J499" i="60"/>
  <c r="J500" i="60"/>
  <c r="J501" i="60"/>
  <c r="I502" i="60"/>
  <c r="J502" i="60" s="1"/>
  <c r="K503" i="60"/>
  <c r="K504" i="60" s="1"/>
  <c r="K505" i="60" s="1"/>
  <c r="K506" i="60" s="1"/>
  <c r="D72" i="3"/>
  <c r="D77" i="3" s="1"/>
  <c r="D71" i="3"/>
  <c r="D76" i="3" s="1"/>
  <c r="I14" i="35"/>
  <c r="J14" i="35" s="1"/>
  <c r="H29" i="35"/>
  <c r="O56" i="35"/>
  <c r="P56" i="35" s="1"/>
  <c r="Q56" i="35" s="1"/>
  <c r="R56" i="35" s="1"/>
  <c r="S56" i="35" s="1"/>
  <c r="O26" i="35"/>
  <c r="P26" i="35" s="1"/>
  <c r="Q26" i="35" s="1"/>
  <c r="R26" i="35" s="1"/>
  <c r="S26" i="35" s="1"/>
  <c r="I16" i="35" l="1"/>
  <c r="I37" i="35" s="1"/>
  <c r="O21" i="35"/>
  <c r="F87" i="61"/>
  <c r="T20" i="85"/>
  <c r="S21" i="85"/>
  <c r="M20" i="85"/>
  <c r="H37" i="35"/>
  <c r="K18" i="85"/>
  <c r="Q21" i="85"/>
  <c r="U21" i="85"/>
  <c r="N18" i="85"/>
  <c r="V18" i="85"/>
  <c r="J20" i="85"/>
  <c r="F52" i="61"/>
  <c r="K20" i="85"/>
  <c r="H43" i="35"/>
  <c r="H27" i="35" s="1"/>
  <c r="F27" i="61"/>
  <c r="G74" i="61"/>
  <c r="H74" i="61" s="1"/>
  <c r="I74" i="61" s="1"/>
  <c r="J74" i="61" s="1"/>
  <c r="K74" i="61" s="1"/>
  <c r="L74" i="61" s="1"/>
  <c r="I17" i="35"/>
  <c r="H39" i="35"/>
  <c r="H30" i="35"/>
  <c r="H33" i="35"/>
  <c r="F27" i="35"/>
  <c r="E27" i="35"/>
  <c r="H40" i="35"/>
  <c r="F39" i="35"/>
  <c r="I596" i="60"/>
  <c r="I597" i="60" s="1"/>
  <c r="I598" i="60" s="1"/>
  <c r="I34" i="35"/>
  <c r="G30" i="61"/>
  <c r="J12" i="35"/>
  <c r="J29" i="35" s="1"/>
  <c r="I30" i="35"/>
  <c r="G100" i="61"/>
  <c r="G62" i="61"/>
  <c r="G75" i="61"/>
  <c r="H59" i="3"/>
  <c r="I59" i="3" s="1"/>
  <c r="J59" i="3" s="1"/>
  <c r="K59" i="3" s="1"/>
  <c r="L59" i="3" s="1"/>
  <c r="M59" i="3" s="1"/>
  <c r="E4" i="35"/>
  <c r="I448" i="60"/>
  <c r="I449" i="60" s="1"/>
  <c r="G16" i="61"/>
  <c r="H16" i="61" s="1"/>
  <c r="I16" i="61" s="1"/>
  <c r="J16" i="61" s="1"/>
  <c r="K16" i="61" s="1"/>
  <c r="L16" i="61" s="1"/>
  <c r="G42" i="61"/>
  <c r="I33" i="35"/>
  <c r="I13" i="35"/>
  <c r="H31" i="35"/>
  <c r="H15" i="61"/>
  <c r="I15" i="61" s="1"/>
  <c r="J15" i="61" s="1"/>
  <c r="K15" i="61" s="1"/>
  <c r="L15" i="61" s="1"/>
  <c r="H56" i="3"/>
  <c r="I56" i="3" s="1"/>
  <c r="J56" i="3" s="1"/>
  <c r="K56" i="3" s="1"/>
  <c r="L56" i="3" s="1"/>
  <c r="M56" i="3" s="1"/>
  <c r="K14" i="35"/>
  <c r="K33" i="35" s="1"/>
  <c r="J34" i="35"/>
  <c r="J33" i="35"/>
  <c r="I40" i="35"/>
  <c r="J17" i="35"/>
  <c r="K12" i="35"/>
  <c r="H36" i="35"/>
  <c r="E39" i="35"/>
  <c r="I15" i="35"/>
  <c r="I29" i="35"/>
  <c r="O25" i="35"/>
  <c r="P25" i="35" s="1"/>
  <c r="Q25" i="35" s="1"/>
  <c r="R25" i="35" s="1"/>
  <c r="I503" i="60"/>
  <c r="G17" i="61"/>
  <c r="H17" i="61" s="1"/>
  <c r="I17" i="61" s="1"/>
  <c r="J17" i="61" s="1"/>
  <c r="K17" i="61" s="1"/>
  <c r="L17" i="61" s="1"/>
  <c r="G192" i="61"/>
  <c r="H192" i="61" s="1"/>
  <c r="I192" i="61" s="1"/>
  <c r="J192" i="61" s="1"/>
  <c r="K192" i="61" s="1"/>
  <c r="R21" i="85"/>
  <c r="G18" i="85"/>
  <c r="J597" i="60"/>
  <c r="G27" i="35"/>
  <c r="G39" i="35"/>
  <c r="O24" i="35"/>
  <c r="P24" i="35" s="1"/>
  <c r="Q24" i="35" s="1"/>
  <c r="R24" i="35" s="1"/>
  <c r="L17" i="85"/>
  <c r="M21" i="85"/>
  <c r="K507" i="60"/>
  <c r="K508" i="60" s="1"/>
  <c r="K509" i="60" s="1"/>
  <c r="K510" i="60" s="1"/>
  <c r="K511" i="60" s="1"/>
  <c r="K512" i="60" s="1"/>
  <c r="K513" i="60" s="1"/>
  <c r="K514" i="60" s="1"/>
  <c r="K515" i="60" s="1"/>
  <c r="K516" i="60" s="1"/>
  <c r="K517" i="60" s="1"/>
  <c r="K518" i="60" s="1"/>
  <c r="K519" i="60" s="1"/>
  <c r="K520" i="60" s="1"/>
  <c r="K521" i="60" s="1"/>
  <c r="K522" i="60" s="1"/>
  <c r="K523" i="60" s="1"/>
  <c r="K524" i="60" s="1"/>
  <c r="K525" i="60" s="1"/>
  <c r="K526" i="60" s="1"/>
  <c r="K527" i="60" s="1"/>
  <c r="K528" i="60" s="1"/>
  <c r="K529" i="60" s="1"/>
  <c r="K530" i="60" s="1"/>
  <c r="K531" i="60" s="1"/>
  <c r="K532" i="60" s="1"/>
  <c r="K533" i="60" s="1"/>
  <c r="K534" i="60" s="1"/>
  <c r="K535" i="60" s="1"/>
  <c r="K536" i="60" s="1"/>
  <c r="K537" i="60" s="1"/>
  <c r="K538" i="60" s="1"/>
  <c r="K539" i="60" s="1"/>
  <c r="K540" i="60" s="1"/>
  <c r="K541" i="60" s="1"/>
  <c r="K542" i="60" s="1"/>
  <c r="K543" i="60" s="1"/>
  <c r="K544" i="60" s="1"/>
  <c r="K545" i="60" s="1"/>
  <c r="L192" i="61" l="1"/>
  <c r="I38" i="35"/>
  <c r="J16" i="35"/>
  <c r="S25" i="35"/>
  <c r="S24" i="35"/>
  <c r="P21" i="35"/>
  <c r="U17" i="85"/>
  <c r="S18" i="85"/>
  <c r="U18" i="85"/>
  <c r="P17" i="85"/>
  <c r="N20" i="85"/>
  <c r="L18" i="85"/>
  <c r="L19" i="85" s="1"/>
  <c r="O20" i="85"/>
  <c r="O18" i="85"/>
  <c r="O21" i="85"/>
  <c r="R17" i="85"/>
  <c r="T18" i="85"/>
  <c r="P18" i="85"/>
  <c r="N21" i="85"/>
  <c r="V17" i="85"/>
  <c r="V19" i="85" s="1"/>
  <c r="L21" i="85"/>
  <c r="R20" i="85"/>
  <c r="J21" i="85"/>
  <c r="O17" i="85"/>
  <c r="S17" i="85"/>
  <c r="P21" i="85"/>
  <c r="I20" i="85"/>
  <c r="M17" i="85"/>
  <c r="I18" i="85"/>
  <c r="Q18" i="85"/>
  <c r="V21" i="85"/>
  <c r="T17" i="85"/>
  <c r="H21" i="85"/>
  <c r="G22" i="61"/>
  <c r="G27" i="61" s="1"/>
  <c r="H51" i="3"/>
  <c r="I51" i="3" s="1"/>
  <c r="J51" i="3" s="1"/>
  <c r="K51" i="3" s="1"/>
  <c r="L51" i="3" s="1"/>
  <c r="M51" i="3" s="1"/>
  <c r="H62" i="3"/>
  <c r="I62" i="3" s="1"/>
  <c r="J62" i="3" s="1"/>
  <c r="K62" i="3" s="1"/>
  <c r="L62" i="3" s="1"/>
  <c r="M62" i="3" s="1"/>
  <c r="J30" i="35"/>
  <c r="J598" i="60"/>
  <c r="I599" i="60"/>
  <c r="J599" i="60" s="1"/>
  <c r="J596" i="60"/>
  <c r="P48" i="85"/>
  <c r="J448" i="60"/>
  <c r="R48" i="85"/>
  <c r="O48" i="85"/>
  <c r="H209" i="3"/>
  <c r="I209" i="3" s="1"/>
  <c r="J209" i="3" s="1"/>
  <c r="K209" i="3" s="1"/>
  <c r="L209" i="3" s="1"/>
  <c r="M209" i="3" s="1"/>
  <c r="H183" i="3"/>
  <c r="I183" i="3" s="1"/>
  <c r="J183" i="3" s="1"/>
  <c r="K183" i="3" s="1"/>
  <c r="L183" i="3" s="1"/>
  <c r="M183" i="3" s="1"/>
  <c r="H161" i="3"/>
  <c r="I161" i="3" s="1"/>
  <c r="J161" i="3" s="1"/>
  <c r="K161" i="3" s="1"/>
  <c r="L161" i="3" s="1"/>
  <c r="M161" i="3" s="1"/>
  <c r="H149" i="3"/>
  <c r="I149" i="3" s="1"/>
  <c r="J149" i="3" s="1"/>
  <c r="K149" i="3" s="1"/>
  <c r="L149" i="3" s="1"/>
  <c r="M149" i="3" s="1"/>
  <c r="G52" i="61"/>
  <c r="H42" i="61"/>
  <c r="H210" i="3"/>
  <c r="I210" i="3" s="1"/>
  <c r="J210" i="3" s="1"/>
  <c r="K210" i="3" s="1"/>
  <c r="L210" i="3" s="1"/>
  <c r="M210" i="3" s="1"/>
  <c r="H227" i="3"/>
  <c r="I227" i="3" s="1"/>
  <c r="J227" i="3" s="1"/>
  <c r="K227" i="3" s="1"/>
  <c r="L227" i="3" s="1"/>
  <c r="M227" i="3" s="1"/>
  <c r="H213" i="3"/>
  <c r="I213" i="3" s="1"/>
  <c r="J213" i="3" s="1"/>
  <c r="K213" i="3" s="1"/>
  <c r="L213" i="3" s="1"/>
  <c r="M213" i="3" s="1"/>
  <c r="H197" i="3"/>
  <c r="I197" i="3" s="1"/>
  <c r="J197" i="3" s="1"/>
  <c r="K197" i="3" s="1"/>
  <c r="L197" i="3" s="1"/>
  <c r="M197" i="3" s="1"/>
  <c r="H62" i="61"/>
  <c r="I62" i="61" s="1"/>
  <c r="J62" i="61" s="1"/>
  <c r="K62" i="61" s="1"/>
  <c r="L62" i="61" s="1"/>
  <c r="H100" i="61"/>
  <c r="I100" i="61" s="1"/>
  <c r="J100" i="61" s="1"/>
  <c r="K100" i="61" s="1"/>
  <c r="L100" i="61" s="1"/>
  <c r="F80" i="61"/>
  <c r="H211" i="3"/>
  <c r="I211" i="3" s="1"/>
  <c r="J211" i="3" s="1"/>
  <c r="K211" i="3" s="1"/>
  <c r="L211" i="3" s="1"/>
  <c r="M211" i="3" s="1"/>
  <c r="H226" i="3"/>
  <c r="I226" i="3" s="1"/>
  <c r="J226" i="3" s="1"/>
  <c r="K226" i="3" s="1"/>
  <c r="L226" i="3" s="1"/>
  <c r="M226" i="3" s="1"/>
  <c r="H133" i="3"/>
  <c r="I133" i="3" s="1"/>
  <c r="J133" i="3" s="1"/>
  <c r="K133" i="3" s="1"/>
  <c r="L133" i="3" s="1"/>
  <c r="M133" i="3" s="1"/>
  <c r="H48" i="85"/>
  <c r="F40" i="61"/>
  <c r="F54" i="61" s="1"/>
  <c r="H215" i="3"/>
  <c r="I215" i="3" s="1"/>
  <c r="J215" i="3" s="1"/>
  <c r="K215" i="3" s="1"/>
  <c r="L215" i="3" s="1"/>
  <c r="M215" i="3" s="1"/>
  <c r="H132" i="3"/>
  <c r="I132" i="3" s="1"/>
  <c r="J132" i="3" s="1"/>
  <c r="K132" i="3" s="1"/>
  <c r="L132" i="3" s="1"/>
  <c r="M132" i="3" s="1"/>
  <c r="J13" i="35"/>
  <c r="I32" i="35"/>
  <c r="I31" i="35"/>
  <c r="H228" i="3"/>
  <c r="I228" i="3" s="1"/>
  <c r="J228" i="3" s="1"/>
  <c r="K228" i="3" s="1"/>
  <c r="L228" i="3" s="1"/>
  <c r="M228" i="3" s="1"/>
  <c r="H214" i="3"/>
  <c r="I214" i="3" s="1"/>
  <c r="J214" i="3" s="1"/>
  <c r="K214" i="3" s="1"/>
  <c r="L214" i="3" s="1"/>
  <c r="M214" i="3" s="1"/>
  <c r="H198" i="3"/>
  <c r="I198" i="3" s="1"/>
  <c r="J198" i="3" s="1"/>
  <c r="K198" i="3" s="1"/>
  <c r="L198" i="3" s="1"/>
  <c r="M198" i="3" s="1"/>
  <c r="H185" i="3"/>
  <c r="I185" i="3" s="1"/>
  <c r="J185" i="3" s="1"/>
  <c r="K185" i="3" s="1"/>
  <c r="L185" i="3" s="1"/>
  <c r="M185" i="3" s="1"/>
  <c r="H135" i="3"/>
  <c r="I135" i="3" s="1"/>
  <c r="J135" i="3" s="1"/>
  <c r="K135" i="3" s="1"/>
  <c r="L135" i="3" s="1"/>
  <c r="M135" i="3" s="1"/>
  <c r="H30" i="61"/>
  <c r="I30" i="61" s="1"/>
  <c r="J30" i="61" s="1"/>
  <c r="K30" i="61" s="1"/>
  <c r="L30" i="61" s="1"/>
  <c r="H186" i="3"/>
  <c r="I186" i="3" s="1"/>
  <c r="J186" i="3" s="1"/>
  <c r="K186" i="3" s="1"/>
  <c r="L186" i="3" s="1"/>
  <c r="M186" i="3" s="1"/>
  <c r="H128" i="3"/>
  <c r="I128" i="3" s="1"/>
  <c r="J128" i="3" s="1"/>
  <c r="K128" i="3" s="1"/>
  <c r="L128" i="3" s="1"/>
  <c r="M128" i="3" s="1"/>
  <c r="F4" i="35"/>
  <c r="H207" i="3"/>
  <c r="I207" i="3" s="1"/>
  <c r="J207" i="3" s="1"/>
  <c r="K207" i="3" s="1"/>
  <c r="L207" i="3" s="1"/>
  <c r="M207" i="3" s="1"/>
  <c r="L40" i="85"/>
  <c r="F68" i="61"/>
  <c r="H184" i="3"/>
  <c r="I184" i="3" s="1"/>
  <c r="J184" i="3" s="1"/>
  <c r="K184" i="3" s="1"/>
  <c r="L184" i="3" s="1"/>
  <c r="M184" i="3" s="1"/>
  <c r="H162" i="3"/>
  <c r="I162" i="3" s="1"/>
  <c r="J162" i="3" s="1"/>
  <c r="K162" i="3" s="1"/>
  <c r="L162" i="3" s="1"/>
  <c r="M162" i="3" s="1"/>
  <c r="H150" i="3"/>
  <c r="I150" i="3" s="1"/>
  <c r="J150" i="3" s="1"/>
  <c r="K150" i="3" s="1"/>
  <c r="L150" i="3" s="1"/>
  <c r="M150" i="3" s="1"/>
  <c r="H134" i="3"/>
  <c r="I134" i="3" s="1"/>
  <c r="J134" i="3" s="1"/>
  <c r="K134" i="3" s="1"/>
  <c r="L134" i="3" s="1"/>
  <c r="M134" i="3" s="1"/>
  <c r="H126" i="3"/>
  <c r="I126" i="3" s="1"/>
  <c r="J126" i="3" s="1"/>
  <c r="K126" i="3" s="1"/>
  <c r="L126" i="3" s="1"/>
  <c r="M126" i="3" s="1"/>
  <c r="H75" i="61"/>
  <c r="I75" i="61" s="1"/>
  <c r="J75" i="61" s="1"/>
  <c r="K75" i="61" s="1"/>
  <c r="L75" i="61" s="1"/>
  <c r="J40" i="35"/>
  <c r="K17" i="35"/>
  <c r="K39" i="35" s="1"/>
  <c r="K34" i="35"/>
  <c r="L14" i="35"/>
  <c r="L33" i="35" s="1"/>
  <c r="I36" i="35"/>
  <c r="J15" i="35"/>
  <c r="J36" i="35" s="1"/>
  <c r="I35" i="35"/>
  <c r="K16" i="35"/>
  <c r="J37" i="35"/>
  <c r="J38" i="35"/>
  <c r="L12" i="35"/>
  <c r="K30" i="35"/>
  <c r="K29" i="35"/>
  <c r="I504" i="60"/>
  <c r="J503" i="60"/>
  <c r="O55" i="35"/>
  <c r="O54" i="35"/>
  <c r="I48" i="85"/>
  <c r="Q48" i="85"/>
  <c r="G20" i="85"/>
  <c r="I450" i="60"/>
  <c r="J449" i="60"/>
  <c r="U40" i="85"/>
  <c r="O40" i="85"/>
  <c r="V40" i="85"/>
  <c r="T40" i="85"/>
  <c r="P40" i="85"/>
  <c r="S40" i="85"/>
  <c r="G48" i="85"/>
  <c r="J48" i="85"/>
  <c r="I42" i="35"/>
  <c r="H22" i="61" l="1"/>
  <c r="P54" i="35"/>
  <c r="I106" i="73"/>
  <c r="I106" i="41"/>
  <c r="I106" i="47"/>
  <c r="I106" i="43"/>
  <c r="I106" i="36"/>
  <c r="I106" i="74"/>
  <c r="I106" i="70"/>
  <c r="I106" i="38"/>
  <c r="I106" i="45"/>
  <c r="I106" i="42"/>
  <c r="I106" i="71"/>
  <c r="I106" i="48"/>
  <c r="I106" i="49"/>
  <c r="I106" i="72"/>
  <c r="I106" i="69"/>
  <c r="I106" i="46"/>
  <c r="I106" i="40"/>
  <c r="I106" i="37"/>
  <c r="I106" i="76"/>
  <c r="I106" i="75"/>
  <c r="I106" i="63"/>
  <c r="I106" i="50"/>
  <c r="I109" i="50" s="1"/>
  <c r="I140" i="50" s="1"/>
  <c r="I106" i="44"/>
  <c r="I106" i="39"/>
  <c r="P55" i="35"/>
  <c r="I107" i="50"/>
  <c r="I107" i="42"/>
  <c r="I107" i="72"/>
  <c r="I107" i="47"/>
  <c r="I109" i="47" s="1"/>
  <c r="I140" i="47" s="1"/>
  <c r="I107" i="45"/>
  <c r="I109" i="45" s="1"/>
  <c r="I140" i="45" s="1"/>
  <c r="I107" i="76"/>
  <c r="I107" i="75"/>
  <c r="I107" i="71"/>
  <c r="I107" i="63"/>
  <c r="I109" i="63" s="1"/>
  <c r="I140" i="63" s="1"/>
  <c r="I107" i="39"/>
  <c r="I107" i="38"/>
  <c r="I109" i="38" s="1"/>
  <c r="I140" i="38" s="1"/>
  <c r="I107" i="37"/>
  <c r="I107" i="74"/>
  <c r="I109" i="74" s="1"/>
  <c r="I140" i="74" s="1"/>
  <c r="I107" i="48"/>
  <c r="I107" i="40"/>
  <c r="I107" i="73"/>
  <c r="I109" i="73" s="1"/>
  <c r="I140" i="73" s="1"/>
  <c r="I107" i="70"/>
  <c r="I109" i="70" s="1"/>
  <c r="I140" i="70" s="1"/>
  <c r="I141" i="70" s="1"/>
  <c r="I249" i="70" s="1"/>
  <c r="I252" i="70" s="1"/>
  <c r="I260" i="70" s="1"/>
  <c r="I273" i="70" s="1"/>
  <c r="I274" i="70" s="1"/>
  <c r="I107" i="69"/>
  <c r="I109" i="69" s="1"/>
  <c r="I140" i="69" s="1"/>
  <c r="I141" i="69" s="1"/>
  <c r="I249" i="69" s="1"/>
  <c r="I252" i="69" s="1"/>
  <c r="I260" i="69" s="1"/>
  <c r="I273" i="69" s="1"/>
  <c r="I274" i="69" s="1"/>
  <c r="I107" i="41"/>
  <c r="I109" i="41" s="1"/>
  <c r="I140" i="41" s="1"/>
  <c r="I107" i="36"/>
  <c r="I109" i="36" s="1"/>
  <c r="I140" i="36" s="1"/>
  <c r="I107" i="49"/>
  <c r="I109" i="49" s="1"/>
  <c r="I140" i="49" s="1"/>
  <c r="I107" i="43"/>
  <c r="I109" i="43" s="1"/>
  <c r="I140" i="43" s="1"/>
  <c r="I107" i="44"/>
  <c r="I107" i="46"/>
  <c r="I109" i="46" s="1"/>
  <c r="I140" i="46" s="1"/>
  <c r="T19" i="85"/>
  <c r="Q21" i="35"/>
  <c r="R21" i="35" s="1"/>
  <c r="S21" i="35" s="1"/>
  <c r="P19" i="85"/>
  <c r="O19" i="85"/>
  <c r="S19" i="85"/>
  <c r="Q20" i="85"/>
  <c r="H120" i="3"/>
  <c r="I120" i="3" s="1"/>
  <c r="J120" i="3" s="1"/>
  <c r="K120" i="3" s="1"/>
  <c r="L120" i="3" s="1"/>
  <c r="M120" i="3" s="1"/>
  <c r="G55" i="85"/>
  <c r="U53" i="85"/>
  <c r="V53" i="85"/>
  <c r="H34" i="3"/>
  <c r="I34" i="3" s="1"/>
  <c r="J34" i="3" s="1"/>
  <c r="K34" i="3" s="1"/>
  <c r="L34" i="3" s="1"/>
  <c r="M34" i="3" s="1"/>
  <c r="G23" i="85"/>
  <c r="I17" i="85"/>
  <c r="I19" i="85" s="1"/>
  <c r="R52" i="85"/>
  <c r="J55" i="85"/>
  <c r="O53" i="85"/>
  <c r="O55" i="85"/>
  <c r="L53" i="85"/>
  <c r="L55" i="85"/>
  <c r="M53" i="85"/>
  <c r="M55" i="85"/>
  <c r="N53" i="85"/>
  <c r="N55" i="85"/>
  <c r="K55" i="85"/>
  <c r="J53" i="85"/>
  <c r="P53" i="85"/>
  <c r="P55" i="85"/>
  <c r="I54" i="85"/>
  <c r="R54" i="85"/>
  <c r="O23" i="85"/>
  <c r="R23" i="85"/>
  <c r="P23" i="85"/>
  <c r="N23" i="85"/>
  <c r="U23" i="85"/>
  <c r="K54" i="85"/>
  <c r="H118" i="3"/>
  <c r="I118" i="3" s="1"/>
  <c r="J118" i="3" s="1"/>
  <c r="K118" i="3" s="1"/>
  <c r="L118" i="3" s="1"/>
  <c r="M118" i="3" s="1"/>
  <c r="G53" i="85"/>
  <c r="T53" i="85"/>
  <c r="T55" i="85"/>
  <c r="U55" i="85"/>
  <c r="V55" i="85"/>
  <c r="K53" i="85"/>
  <c r="P52" i="85"/>
  <c r="S55" i="85"/>
  <c r="H54" i="85"/>
  <c r="Q54" i="85"/>
  <c r="R53" i="85"/>
  <c r="K17" i="85"/>
  <c r="K19" i="85" s="1"/>
  <c r="J17" i="85"/>
  <c r="H55" i="85"/>
  <c r="H119" i="3"/>
  <c r="I119" i="3" s="1"/>
  <c r="J119" i="3" s="1"/>
  <c r="K119" i="3" s="1"/>
  <c r="L119" i="3" s="1"/>
  <c r="M119" i="3" s="1"/>
  <c r="G54" i="85"/>
  <c r="V52" i="85"/>
  <c r="T54" i="85"/>
  <c r="S52" i="85"/>
  <c r="U54" i="85"/>
  <c r="T52" i="85"/>
  <c r="V54" i="85"/>
  <c r="U52" i="85"/>
  <c r="K21" i="85"/>
  <c r="J52" i="85"/>
  <c r="R55" i="85"/>
  <c r="S53" i="85"/>
  <c r="H53" i="85"/>
  <c r="O52" i="85"/>
  <c r="I55" i="85"/>
  <c r="J54" i="85"/>
  <c r="M18" i="85"/>
  <c r="M19" i="85" s="1"/>
  <c r="N17" i="85"/>
  <c r="N19" i="85" s="1"/>
  <c r="V23" i="85"/>
  <c r="U19" i="85"/>
  <c r="I43" i="35"/>
  <c r="I27" i="35" s="1"/>
  <c r="V20" i="85"/>
  <c r="Q55" i="85"/>
  <c r="Q23" i="85"/>
  <c r="J23" i="85"/>
  <c r="I600" i="60"/>
  <c r="J600" i="60" s="1"/>
  <c r="H20" i="85"/>
  <c r="P20" i="85"/>
  <c r="I53" i="85"/>
  <c r="O54" i="85"/>
  <c r="N52" i="85"/>
  <c r="L54" i="85"/>
  <c r="K52" i="85"/>
  <c r="M54" i="85"/>
  <c r="L52" i="85"/>
  <c r="N54" i="85"/>
  <c r="M52" i="85"/>
  <c r="L20" i="85"/>
  <c r="Q53" i="85"/>
  <c r="I52" i="85"/>
  <c r="S54" i="85"/>
  <c r="P54" i="85"/>
  <c r="H117" i="3"/>
  <c r="I117" i="3" s="1"/>
  <c r="J117" i="3" s="1"/>
  <c r="K117" i="3" s="1"/>
  <c r="L117" i="3" s="1"/>
  <c r="M117" i="3" s="1"/>
  <c r="G52" i="85"/>
  <c r="H52" i="85"/>
  <c r="Q52" i="85"/>
  <c r="H23" i="85"/>
  <c r="M23" i="85"/>
  <c r="T23" i="85"/>
  <c r="K23" i="85"/>
  <c r="I23" i="85"/>
  <c r="S23" i="85"/>
  <c r="L23" i="85"/>
  <c r="H18" i="85"/>
  <c r="H17" i="85"/>
  <c r="N40" i="85"/>
  <c r="H178" i="3"/>
  <c r="I178" i="3" s="1"/>
  <c r="J178" i="3" s="1"/>
  <c r="K178" i="3" s="1"/>
  <c r="L178" i="3" s="1"/>
  <c r="M178" i="3" s="1"/>
  <c r="H179" i="3"/>
  <c r="I179" i="3" s="1"/>
  <c r="J179" i="3" s="1"/>
  <c r="K179" i="3" s="1"/>
  <c r="L179" i="3" s="1"/>
  <c r="M179" i="3" s="1"/>
  <c r="U34" i="85"/>
  <c r="U46" i="85"/>
  <c r="V34" i="85"/>
  <c r="V46" i="85"/>
  <c r="O34" i="85"/>
  <c r="P34" i="85"/>
  <c r="S46" i="85"/>
  <c r="S34" i="85"/>
  <c r="T46" i="85"/>
  <c r="T34" i="85"/>
  <c r="L34" i="85"/>
  <c r="H206" i="3"/>
  <c r="I206" i="3" s="1"/>
  <c r="J206" i="3" s="1"/>
  <c r="K206" i="3" s="1"/>
  <c r="L206" i="3" s="1"/>
  <c r="M206" i="3" s="1"/>
  <c r="H52" i="61"/>
  <c r="I42" i="61"/>
  <c r="H27" i="61"/>
  <c r="I22" i="61"/>
  <c r="L48" i="85"/>
  <c r="T48" i="85"/>
  <c r="M40" i="85"/>
  <c r="S48" i="85"/>
  <c r="N48" i="85"/>
  <c r="L43" i="85"/>
  <c r="K48" i="85"/>
  <c r="K40" i="85"/>
  <c r="L47" i="85"/>
  <c r="L39" i="85"/>
  <c r="L41" i="85"/>
  <c r="J58" i="85"/>
  <c r="S20" i="85"/>
  <c r="H208" i="3"/>
  <c r="I208" i="3" s="1"/>
  <c r="J208" i="3" s="1"/>
  <c r="K208" i="3" s="1"/>
  <c r="L208" i="3" s="1"/>
  <c r="M208" i="3" s="1"/>
  <c r="H224" i="3"/>
  <c r="I224" i="3" s="1"/>
  <c r="J224" i="3" s="1"/>
  <c r="K224" i="3" s="1"/>
  <c r="L224" i="3" s="1"/>
  <c r="M224" i="3" s="1"/>
  <c r="H25" i="3"/>
  <c r="I25" i="3" s="1"/>
  <c r="J25" i="3" s="1"/>
  <c r="K25" i="3" s="1"/>
  <c r="L25" i="3" s="1"/>
  <c r="K13" i="35"/>
  <c r="J31" i="35"/>
  <c r="J32" i="35"/>
  <c r="G34" i="61"/>
  <c r="M59" i="85"/>
  <c r="U48" i="85"/>
  <c r="V48" i="85"/>
  <c r="G66" i="61"/>
  <c r="F175" i="61"/>
  <c r="G4" i="35"/>
  <c r="G59" i="85"/>
  <c r="G101" i="61"/>
  <c r="F115" i="61"/>
  <c r="F116" i="61" s="1"/>
  <c r="G78" i="61"/>
  <c r="G113" i="3"/>
  <c r="H124" i="3"/>
  <c r="I124" i="3" s="1"/>
  <c r="J124" i="3" s="1"/>
  <c r="K124" i="3" s="1"/>
  <c r="L124" i="3" s="1"/>
  <c r="M124" i="3" s="1"/>
  <c r="H195" i="3"/>
  <c r="I195" i="3" s="1"/>
  <c r="J195" i="3" s="1"/>
  <c r="K195" i="3" s="1"/>
  <c r="L195" i="3" s="1"/>
  <c r="M195" i="3" s="1"/>
  <c r="H125" i="3"/>
  <c r="I125" i="3" s="1"/>
  <c r="J125" i="3" s="1"/>
  <c r="K125" i="3" s="1"/>
  <c r="L125" i="3" s="1"/>
  <c r="M125" i="3" s="1"/>
  <c r="H225" i="3"/>
  <c r="I225" i="3" s="1"/>
  <c r="J225" i="3" s="1"/>
  <c r="K225" i="3" s="1"/>
  <c r="L225" i="3" s="1"/>
  <c r="M225" i="3" s="1"/>
  <c r="M14" i="35"/>
  <c r="N14" i="35" s="1"/>
  <c r="O14" i="35" s="1"/>
  <c r="P14" i="35" s="1"/>
  <c r="L34" i="35"/>
  <c r="M12" i="35"/>
  <c r="N12" i="35" s="1"/>
  <c r="O12" i="35" s="1"/>
  <c r="P12" i="35" s="1"/>
  <c r="L30" i="35"/>
  <c r="L29" i="35"/>
  <c r="K40" i="35"/>
  <c r="L17" i="35"/>
  <c r="L16" i="35"/>
  <c r="K38" i="35"/>
  <c r="K37" i="35"/>
  <c r="K15" i="35"/>
  <c r="J35" i="35"/>
  <c r="J504" i="60"/>
  <c r="I505" i="60"/>
  <c r="G17" i="85"/>
  <c r="G19" i="85" s="1"/>
  <c r="S51" i="85"/>
  <c r="P51" i="85"/>
  <c r="T51" i="85"/>
  <c r="O51" i="85"/>
  <c r="V51" i="85"/>
  <c r="U51" i="85"/>
  <c r="AD42" i="85"/>
  <c r="W42" i="85"/>
  <c r="AB42" i="85"/>
  <c r="AC42" i="85"/>
  <c r="Y42" i="85"/>
  <c r="X42" i="85"/>
  <c r="AA42" i="85"/>
  <c r="Z42" i="85"/>
  <c r="AE42" i="85"/>
  <c r="AB41" i="85"/>
  <c r="AC41" i="85"/>
  <c r="AA41" i="85"/>
  <c r="X41" i="85"/>
  <c r="Z41" i="85"/>
  <c r="AD41" i="85"/>
  <c r="W41" i="85"/>
  <c r="Y41" i="85"/>
  <c r="Y44" i="85" s="1"/>
  <c r="AE41" i="85"/>
  <c r="V47" i="85"/>
  <c r="U47" i="85"/>
  <c r="T47" i="85"/>
  <c r="S47" i="85"/>
  <c r="P47" i="85"/>
  <c r="O47" i="85"/>
  <c r="J450" i="60"/>
  <c r="I451" i="60"/>
  <c r="P43" i="85"/>
  <c r="P39" i="85"/>
  <c r="P41" i="85"/>
  <c r="T36" i="85"/>
  <c r="S33" i="85"/>
  <c r="S43" i="85"/>
  <c r="S39" i="85"/>
  <c r="S35" i="85"/>
  <c r="S41" i="85"/>
  <c r="T43" i="85"/>
  <c r="T39" i="85"/>
  <c r="T33" i="85"/>
  <c r="T41" i="85"/>
  <c r="T35" i="85"/>
  <c r="O43" i="85"/>
  <c r="O39" i="85"/>
  <c r="O41" i="85"/>
  <c r="U35" i="85"/>
  <c r="U41" i="85"/>
  <c r="U33" i="85"/>
  <c r="U43" i="85"/>
  <c r="U39" i="85"/>
  <c r="H40" i="85"/>
  <c r="I40" i="85"/>
  <c r="V41" i="85"/>
  <c r="V35" i="85"/>
  <c r="V43" i="85"/>
  <c r="V39" i="85"/>
  <c r="V33" i="85"/>
  <c r="M48" i="85"/>
  <c r="J42" i="35"/>
  <c r="I109" i="76" l="1"/>
  <c r="I140" i="76" s="1"/>
  <c r="I141" i="76" s="1"/>
  <c r="I249" i="76" s="1"/>
  <c r="I252" i="76" s="1"/>
  <c r="I260" i="76" s="1"/>
  <c r="I273" i="76" s="1"/>
  <c r="I274" i="76" s="1"/>
  <c r="I109" i="71"/>
  <c r="I140" i="71" s="1"/>
  <c r="I109" i="44"/>
  <c r="I140" i="44" s="1"/>
  <c r="I141" i="44" s="1"/>
  <c r="I249" i="44" s="1"/>
  <c r="I252" i="44" s="1"/>
  <c r="I260" i="44" s="1"/>
  <c r="I273" i="44" s="1"/>
  <c r="I274" i="44" s="1"/>
  <c r="I141" i="41"/>
  <c r="I249" i="41" s="1"/>
  <c r="I252" i="41" s="1"/>
  <c r="I260" i="41" s="1"/>
  <c r="I273" i="41" s="1"/>
  <c r="I274" i="41" s="1"/>
  <c r="I141" i="38"/>
  <c r="I249" i="38" s="1"/>
  <c r="I252" i="38" s="1"/>
  <c r="I260" i="38" s="1"/>
  <c r="I273" i="38" s="1"/>
  <c r="I274" i="38" s="1"/>
  <c r="I141" i="71"/>
  <c r="I249" i="71" s="1"/>
  <c r="I252" i="71" s="1"/>
  <c r="I260" i="71" s="1"/>
  <c r="I273" i="71" s="1"/>
  <c r="I274" i="71" s="1"/>
  <c r="I141" i="43"/>
  <c r="I249" i="43" s="1"/>
  <c r="I252" i="43" s="1"/>
  <c r="I260" i="43" s="1"/>
  <c r="I273" i="43" s="1"/>
  <c r="I274" i="43" s="1"/>
  <c r="I141" i="50"/>
  <c r="I249" i="50" s="1"/>
  <c r="I252" i="50" s="1"/>
  <c r="I260" i="50" s="1"/>
  <c r="I273" i="50" s="1"/>
  <c r="I274" i="50" s="1"/>
  <c r="I109" i="37"/>
  <c r="I140" i="37" s="1"/>
  <c r="I109" i="72"/>
  <c r="I140" i="72" s="1"/>
  <c r="I109" i="42"/>
  <c r="I140" i="42" s="1"/>
  <c r="I141" i="49"/>
  <c r="I249" i="49" s="1"/>
  <c r="I252" i="49" s="1"/>
  <c r="I260" i="49" s="1"/>
  <c r="I273" i="49" s="1"/>
  <c r="I274" i="49" s="1"/>
  <c r="I141" i="74"/>
  <c r="I249" i="74" s="1"/>
  <c r="I252" i="74" s="1"/>
  <c r="I260" i="74" s="1"/>
  <c r="I273" i="74" s="1"/>
  <c r="I274" i="74" s="1"/>
  <c r="I141" i="63"/>
  <c r="I249" i="63" s="1"/>
  <c r="I252" i="63" s="1"/>
  <c r="I260" i="63" s="1"/>
  <c r="I273" i="63" s="1"/>
  <c r="I274" i="63" s="1"/>
  <c r="I141" i="45"/>
  <c r="I249" i="45" s="1"/>
  <c r="I252" i="45" s="1"/>
  <c r="I260" i="45" s="1"/>
  <c r="I273" i="45" s="1"/>
  <c r="I274" i="45" s="1"/>
  <c r="I109" i="40"/>
  <c r="I140" i="40" s="1"/>
  <c r="I141" i="46"/>
  <c r="I249" i="46" s="1"/>
  <c r="I252" i="46" s="1"/>
  <c r="I260" i="46" s="1"/>
  <c r="I273" i="46" s="1"/>
  <c r="I274" i="46" s="1"/>
  <c r="I141" i="36"/>
  <c r="I249" i="36" s="1"/>
  <c r="I252" i="36" s="1"/>
  <c r="I260" i="36" s="1"/>
  <c r="I273" i="36" s="1"/>
  <c r="I274" i="36" s="1"/>
  <c r="I141" i="73"/>
  <c r="I249" i="73" s="1"/>
  <c r="I252" i="73" s="1"/>
  <c r="I260" i="73" s="1"/>
  <c r="I273" i="73" s="1"/>
  <c r="I274" i="73" s="1"/>
  <c r="I141" i="47"/>
  <c r="I249" i="47" s="1"/>
  <c r="I252" i="47" s="1"/>
  <c r="I260" i="47" s="1"/>
  <c r="I273" i="47" s="1"/>
  <c r="I274" i="47" s="1"/>
  <c r="Q55" i="35"/>
  <c r="J107" i="63"/>
  <c r="J107" i="45"/>
  <c r="J107" i="47"/>
  <c r="J107" i="48"/>
  <c r="J107" i="76"/>
  <c r="J107" i="74"/>
  <c r="J107" i="73"/>
  <c r="J107" i="71"/>
  <c r="J107" i="49"/>
  <c r="J107" i="39"/>
  <c r="J107" i="75"/>
  <c r="J107" i="42"/>
  <c r="J107" i="36"/>
  <c r="J107" i="69"/>
  <c r="J109" i="69" s="1"/>
  <c r="J140" i="69" s="1"/>
  <c r="J107" i="43"/>
  <c r="J107" i="41"/>
  <c r="J107" i="40"/>
  <c r="J107" i="37"/>
  <c r="J109" i="37" s="1"/>
  <c r="J140" i="37" s="1"/>
  <c r="J107" i="50"/>
  <c r="J107" i="44"/>
  <c r="J107" i="38"/>
  <c r="J107" i="72"/>
  <c r="J107" i="70"/>
  <c r="J107" i="46"/>
  <c r="I109" i="39"/>
  <c r="I140" i="39" s="1"/>
  <c r="I141" i="39" s="1"/>
  <c r="I249" i="39" s="1"/>
  <c r="I252" i="39" s="1"/>
  <c r="I260" i="39" s="1"/>
  <c r="I273" i="39" s="1"/>
  <c r="I274" i="39" s="1"/>
  <c r="I109" i="75"/>
  <c r="I140" i="75" s="1"/>
  <c r="I109" i="48"/>
  <c r="I140" i="48" s="1"/>
  <c r="Q54" i="35"/>
  <c r="J106" i="73"/>
  <c r="J106" i="43"/>
  <c r="J106" i="70"/>
  <c r="J106" i="41"/>
  <c r="J106" i="39"/>
  <c r="J106" i="47"/>
  <c r="J106" i="38"/>
  <c r="J106" i="36"/>
  <c r="J106" i="71"/>
  <c r="J109" i="71" s="1"/>
  <c r="J140" i="71" s="1"/>
  <c r="J106" i="48"/>
  <c r="J109" i="48" s="1"/>
  <c r="J140" i="48" s="1"/>
  <c r="J106" i="74"/>
  <c r="J106" i="69"/>
  <c r="J106" i="45"/>
  <c r="J106" i="46"/>
  <c r="J106" i="49"/>
  <c r="J106" i="50"/>
  <c r="J106" i="76"/>
  <c r="J106" i="72"/>
  <c r="J106" i="44"/>
  <c r="J106" i="75"/>
  <c r="J106" i="63"/>
  <c r="J106" i="42"/>
  <c r="J109" i="42" s="1"/>
  <c r="J140" i="42" s="1"/>
  <c r="J106" i="40"/>
  <c r="J106" i="37"/>
  <c r="M25" i="3"/>
  <c r="L19" i="1" s="1"/>
  <c r="K19" i="1"/>
  <c r="I39" i="35"/>
  <c r="Z44" i="85"/>
  <c r="W44" i="85"/>
  <c r="AD44" i="85"/>
  <c r="AE44" i="85"/>
  <c r="N41" i="85"/>
  <c r="P56" i="85"/>
  <c r="S56" i="85"/>
  <c r="N39" i="85"/>
  <c r="U56" i="85"/>
  <c r="U20" i="85"/>
  <c r="G21" i="85"/>
  <c r="I21" i="85"/>
  <c r="N34" i="85"/>
  <c r="Q12" i="35"/>
  <c r="R12" i="35" s="1"/>
  <c r="P29" i="35"/>
  <c r="P30" i="35"/>
  <c r="T21" i="85"/>
  <c r="N43" i="85"/>
  <c r="Q17" i="85"/>
  <c r="Q19" i="85" s="1"/>
  <c r="V56" i="85"/>
  <c r="O56" i="85"/>
  <c r="Q14" i="35"/>
  <c r="R14" i="35" s="1"/>
  <c r="P34" i="35"/>
  <c r="P33" i="35"/>
  <c r="H19" i="85"/>
  <c r="J40" i="85"/>
  <c r="J18" i="85"/>
  <c r="J19" i="85" s="1"/>
  <c r="R18" i="85"/>
  <c r="R19" i="85" s="1"/>
  <c r="N47" i="85"/>
  <c r="X44" i="85"/>
  <c r="N51" i="85"/>
  <c r="N56" i="85" s="1"/>
  <c r="T56" i="85"/>
  <c r="AC44" i="85"/>
  <c r="L51" i="85"/>
  <c r="L56" i="85" s="1"/>
  <c r="AA44" i="85"/>
  <c r="AB44" i="85"/>
  <c r="T49" i="85"/>
  <c r="S49" i="85"/>
  <c r="U49" i="85"/>
  <c r="V49" i="85"/>
  <c r="I52" i="61"/>
  <c r="J42" i="61"/>
  <c r="I27" i="61"/>
  <c r="J22" i="61"/>
  <c r="M39" i="85"/>
  <c r="J43" i="35"/>
  <c r="M34" i="85"/>
  <c r="F176" i="61"/>
  <c r="F177" i="61" s="1"/>
  <c r="O29" i="35"/>
  <c r="O30" i="35"/>
  <c r="O34" i="35"/>
  <c r="O33" i="35"/>
  <c r="J30" i="85"/>
  <c r="M41" i="85"/>
  <c r="M43" i="85"/>
  <c r="M47" i="85"/>
  <c r="K47" i="85"/>
  <c r="U36" i="85"/>
  <c r="K41" i="85"/>
  <c r="K39" i="85"/>
  <c r="V59" i="85"/>
  <c r="K43" i="85"/>
  <c r="H30" i="85"/>
  <c r="L58" i="85"/>
  <c r="V58" i="85"/>
  <c r="H36" i="3"/>
  <c r="H113" i="3" s="1"/>
  <c r="H78" i="61"/>
  <c r="G80" i="61"/>
  <c r="G136" i="3"/>
  <c r="H131" i="3"/>
  <c r="H67" i="85"/>
  <c r="S59" i="85"/>
  <c r="N67" i="85"/>
  <c r="K67" i="85"/>
  <c r="I59" i="85"/>
  <c r="N66" i="85"/>
  <c r="O66" i="85"/>
  <c r="P59" i="85"/>
  <c r="T58" i="85"/>
  <c r="N30" i="35"/>
  <c r="N29" i="35"/>
  <c r="L13" i="35"/>
  <c r="K32" i="35"/>
  <c r="K31" i="35"/>
  <c r="H266" i="3"/>
  <c r="G269" i="3"/>
  <c r="F98" i="61"/>
  <c r="G94" i="61"/>
  <c r="F194" i="61"/>
  <c r="G191" i="61"/>
  <c r="G29" i="3"/>
  <c r="H101" i="61"/>
  <c r="G115" i="61"/>
  <c r="G116" i="61" s="1"/>
  <c r="H4" i="35"/>
  <c r="H34" i="61"/>
  <c r="G40" i="61"/>
  <c r="G54" i="61" s="1"/>
  <c r="I30" i="85"/>
  <c r="V66" i="85"/>
  <c r="K58" i="85"/>
  <c r="H59" i="85"/>
  <c r="L66" i="85"/>
  <c r="U66" i="85"/>
  <c r="N34" i="35"/>
  <c r="N33" i="35"/>
  <c r="U58" i="85"/>
  <c r="H267" i="3"/>
  <c r="H66" i="61"/>
  <c r="G68" i="61"/>
  <c r="H27" i="3"/>
  <c r="I27" i="3" s="1"/>
  <c r="J27" i="3" s="1"/>
  <c r="K27" i="3" s="1"/>
  <c r="L27" i="3" s="1"/>
  <c r="G19" i="61"/>
  <c r="F20" i="61"/>
  <c r="F56" i="61" s="1"/>
  <c r="L15" i="35"/>
  <c r="K35" i="35"/>
  <c r="K36" i="35"/>
  <c r="AC30" i="85"/>
  <c r="AD30" i="85"/>
  <c r="P30" i="85"/>
  <c r="S30" i="85"/>
  <c r="AA30" i="85"/>
  <c r="W30" i="85"/>
  <c r="L30" i="85"/>
  <c r="N30" i="85"/>
  <c r="K30" i="85"/>
  <c r="AB30" i="85"/>
  <c r="Z30" i="85"/>
  <c r="M30" i="85"/>
  <c r="O30" i="85"/>
  <c r="T30" i="85"/>
  <c r="X30" i="85"/>
  <c r="Y30" i="85"/>
  <c r="AE30" i="85"/>
  <c r="U30" i="85"/>
  <c r="V30" i="85"/>
  <c r="R30" i="85"/>
  <c r="M34" i="35"/>
  <c r="M33" i="35"/>
  <c r="W32" i="85"/>
  <c r="AC32" i="85"/>
  <c r="AA32" i="85"/>
  <c r="AE32" i="85"/>
  <c r="X32" i="85"/>
  <c r="Z32" i="85"/>
  <c r="Y32" i="85"/>
  <c r="AD32" i="85"/>
  <c r="AB32" i="85"/>
  <c r="M16" i="35"/>
  <c r="N16" i="35" s="1"/>
  <c r="O16" i="35" s="1"/>
  <c r="P16" i="35" s="1"/>
  <c r="L38" i="35"/>
  <c r="L37" i="35"/>
  <c r="M17" i="35"/>
  <c r="L40" i="35"/>
  <c r="M30" i="35"/>
  <c r="M29" i="35"/>
  <c r="J505" i="60"/>
  <c r="I506" i="60"/>
  <c r="G30" i="85"/>
  <c r="I51" i="85"/>
  <c r="I56" i="85" s="1"/>
  <c r="H51" i="85"/>
  <c r="H56" i="85" s="1"/>
  <c r="I47" i="85"/>
  <c r="H47" i="85"/>
  <c r="I452" i="60"/>
  <c r="J451" i="60"/>
  <c r="K43" i="35"/>
  <c r="K27" i="35" s="1"/>
  <c r="I41" i="85"/>
  <c r="I43" i="85"/>
  <c r="I39" i="85"/>
  <c r="R40" i="85"/>
  <c r="J43" i="85"/>
  <c r="H43" i="85"/>
  <c r="H39" i="85"/>
  <c r="H41" i="85"/>
  <c r="Q40" i="85"/>
  <c r="Q30" i="85"/>
  <c r="J109" i="75" l="1"/>
  <c r="J140" i="75" s="1"/>
  <c r="J109" i="39"/>
  <c r="J140" i="39" s="1"/>
  <c r="J109" i="74"/>
  <c r="J140" i="74" s="1"/>
  <c r="J109" i="38"/>
  <c r="J140" i="38" s="1"/>
  <c r="J109" i="40"/>
  <c r="J140" i="40" s="1"/>
  <c r="J109" i="36"/>
  <c r="J140" i="36" s="1"/>
  <c r="J141" i="36" s="1"/>
  <c r="J249" i="36" s="1"/>
  <c r="J252" i="36" s="1"/>
  <c r="J260" i="36" s="1"/>
  <c r="J273" i="36" s="1"/>
  <c r="J274" i="36" s="1"/>
  <c r="J109" i="49"/>
  <c r="J140" i="49" s="1"/>
  <c r="J141" i="49" s="1"/>
  <c r="J249" i="49" s="1"/>
  <c r="J252" i="49" s="1"/>
  <c r="J260" i="49" s="1"/>
  <c r="J273" i="49" s="1"/>
  <c r="J274" i="49" s="1"/>
  <c r="I92" i="39"/>
  <c r="I92" i="69"/>
  <c r="I92" i="73"/>
  <c r="I92" i="47"/>
  <c r="I92" i="45"/>
  <c r="I92" i="74"/>
  <c r="I92" i="46"/>
  <c r="I92" i="43"/>
  <c r="I92" i="36"/>
  <c r="I92" i="38"/>
  <c r="I92" i="41"/>
  <c r="I92" i="70"/>
  <c r="I92" i="71"/>
  <c r="I92" i="44"/>
  <c r="I92" i="42"/>
  <c r="I92" i="75"/>
  <c r="I92" i="63"/>
  <c r="I92" i="48"/>
  <c r="I92" i="40"/>
  <c r="I92" i="50"/>
  <c r="I92" i="76"/>
  <c r="I92" i="72"/>
  <c r="I92" i="49"/>
  <c r="I92" i="37"/>
  <c r="J141" i="69"/>
  <c r="J249" i="69" s="1"/>
  <c r="J252" i="69" s="1"/>
  <c r="J260" i="69" s="1"/>
  <c r="J273" i="69" s="1"/>
  <c r="J274" i="69" s="1"/>
  <c r="J141" i="39"/>
  <c r="J249" i="39" s="1"/>
  <c r="J252" i="39" s="1"/>
  <c r="J260" i="39" s="1"/>
  <c r="J273" i="39" s="1"/>
  <c r="J274" i="39" s="1"/>
  <c r="J141" i="42"/>
  <c r="J249" i="42" s="1"/>
  <c r="J252" i="42" s="1"/>
  <c r="J260" i="42" s="1"/>
  <c r="J273" i="42" s="1"/>
  <c r="J274" i="42" s="1"/>
  <c r="I141" i="42"/>
  <c r="I249" i="42" s="1"/>
  <c r="I252" i="42" s="1"/>
  <c r="I260" i="42" s="1"/>
  <c r="I273" i="42" s="1"/>
  <c r="I274" i="42" s="1"/>
  <c r="H92" i="38"/>
  <c r="H92" i="45"/>
  <c r="H92" i="69"/>
  <c r="H92" i="36"/>
  <c r="H92" i="42"/>
  <c r="H92" i="73"/>
  <c r="H92" i="71"/>
  <c r="H92" i="75"/>
  <c r="H92" i="50"/>
  <c r="H92" i="46"/>
  <c r="H92" i="72"/>
  <c r="H92" i="70"/>
  <c r="H92" i="76"/>
  <c r="H92" i="37"/>
  <c r="H92" i="41"/>
  <c r="H92" i="74"/>
  <c r="H92" i="63"/>
  <c r="H92" i="44"/>
  <c r="H92" i="39"/>
  <c r="H92" i="43"/>
  <c r="H92" i="40"/>
  <c r="H92" i="47"/>
  <c r="H92" i="48"/>
  <c r="H92" i="49"/>
  <c r="I94" i="42"/>
  <c r="I94" i="50"/>
  <c r="I94" i="45"/>
  <c r="I94" i="40"/>
  <c r="I94" i="75"/>
  <c r="I94" i="63"/>
  <c r="I94" i="37"/>
  <c r="I94" i="74"/>
  <c r="I94" i="48"/>
  <c r="I94" i="76"/>
  <c r="I94" i="72"/>
  <c r="I94" i="71"/>
  <c r="I94" i="47"/>
  <c r="I94" i="39"/>
  <c r="I94" i="38"/>
  <c r="I94" i="70"/>
  <c r="I94" i="49"/>
  <c r="I94" i="43"/>
  <c r="I94" i="44"/>
  <c r="I94" i="41"/>
  <c r="I94" i="36"/>
  <c r="I94" i="73"/>
  <c r="I94" i="69"/>
  <c r="I94" i="46"/>
  <c r="J109" i="45"/>
  <c r="J140" i="45" s="1"/>
  <c r="J109" i="76"/>
  <c r="J140" i="76" s="1"/>
  <c r="J141" i="76" s="1"/>
  <c r="J249" i="76" s="1"/>
  <c r="J252" i="76" s="1"/>
  <c r="J260" i="76" s="1"/>
  <c r="J273" i="76" s="1"/>
  <c r="J274" i="76" s="1"/>
  <c r="J109" i="63"/>
  <c r="J140" i="63" s="1"/>
  <c r="I141" i="40"/>
  <c r="I249" i="40" s="1"/>
  <c r="I252" i="40" s="1"/>
  <c r="I260" i="40" s="1"/>
  <c r="I273" i="40" s="1"/>
  <c r="I274" i="40" s="1"/>
  <c r="J141" i="40"/>
  <c r="J249" i="40" s="1"/>
  <c r="J252" i="40" s="1"/>
  <c r="J260" i="40" s="1"/>
  <c r="J273" i="40" s="1"/>
  <c r="J274" i="40" s="1"/>
  <c r="I141" i="72"/>
  <c r="I249" i="72" s="1"/>
  <c r="I252" i="72" s="1"/>
  <c r="I260" i="72" s="1"/>
  <c r="I273" i="72" s="1"/>
  <c r="I274" i="72" s="1"/>
  <c r="J141" i="38"/>
  <c r="J249" i="38" s="1"/>
  <c r="J252" i="38" s="1"/>
  <c r="J260" i="38" s="1"/>
  <c r="J273" i="38" s="1"/>
  <c r="J274" i="38" s="1"/>
  <c r="I141" i="75"/>
  <c r="I249" i="75" s="1"/>
  <c r="I252" i="75" s="1"/>
  <c r="I260" i="75" s="1"/>
  <c r="I273" i="75" s="1"/>
  <c r="I274" i="75" s="1"/>
  <c r="J141" i="75"/>
  <c r="J249" i="75" s="1"/>
  <c r="J252" i="75" s="1"/>
  <c r="J260" i="75" s="1"/>
  <c r="J273" i="75" s="1"/>
  <c r="J274" i="75" s="1"/>
  <c r="G92" i="76"/>
  <c r="G92" i="75"/>
  <c r="G92" i="73"/>
  <c r="G92" i="74"/>
  <c r="G92" i="72"/>
  <c r="G92" i="63"/>
  <c r="G92" i="69"/>
  <c r="G92" i="47"/>
  <c r="G92" i="71"/>
  <c r="G92" i="45"/>
  <c r="G92" i="49"/>
  <c r="G92" i="70"/>
  <c r="G92" i="46"/>
  <c r="G92" i="44"/>
  <c r="G92" i="50"/>
  <c r="G92" i="42"/>
  <c r="G92" i="40"/>
  <c r="G92" i="48"/>
  <c r="G92" i="43"/>
  <c r="G92" i="37"/>
  <c r="G92" i="41"/>
  <c r="G92" i="39"/>
  <c r="G92" i="38"/>
  <c r="G92" i="36"/>
  <c r="H94" i="47"/>
  <c r="H94" i="48"/>
  <c r="H94" i="76"/>
  <c r="H94" i="73"/>
  <c r="H94" i="72"/>
  <c r="H94" i="50"/>
  <c r="H94" i="40"/>
  <c r="H94" i="75"/>
  <c r="H94" i="71"/>
  <c r="H94" i="41"/>
  <c r="H94" i="38"/>
  <c r="H94" i="74"/>
  <c r="H94" i="63"/>
  <c r="H94" i="46"/>
  <c r="H94" i="44"/>
  <c r="H94" i="36"/>
  <c r="H94" i="39"/>
  <c r="H94" i="70"/>
  <c r="H94" i="69"/>
  <c r="H94" i="49"/>
  <c r="H94" i="45"/>
  <c r="H94" i="43"/>
  <c r="H94" i="42"/>
  <c r="H94" i="37"/>
  <c r="J94" i="75"/>
  <c r="J94" i="73"/>
  <c r="J94" i="71"/>
  <c r="J94" i="63"/>
  <c r="J94" i="45"/>
  <c r="J94" i="49"/>
  <c r="J94" i="36"/>
  <c r="J94" i="76"/>
  <c r="J94" i="42"/>
  <c r="J94" i="74"/>
  <c r="J94" i="47"/>
  <c r="J94" i="48"/>
  <c r="J94" i="39"/>
  <c r="J94" i="72"/>
  <c r="J94" i="46"/>
  <c r="J94" i="43"/>
  <c r="J94" i="40"/>
  <c r="J94" i="50"/>
  <c r="J94" i="44"/>
  <c r="J94" i="38"/>
  <c r="J94" i="70"/>
  <c r="J94" i="69"/>
  <c r="J94" i="41"/>
  <c r="J94" i="37"/>
  <c r="J92" i="74"/>
  <c r="J92" i="46"/>
  <c r="J92" i="69"/>
  <c r="J92" i="45"/>
  <c r="J92" i="47"/>
  <c r="J92" i="41"/>
  <c r="J92" i="38"/>
  <c r="J92" i="73"/>
  <c r="J92" i="70"/>
  <c r="J92" i="43"/>
  <c r="J92" i="39"/>
  <c r="J92" i="36"/>
  <c r="J92" i="76"/>
  <c r="J92" i="63"/>
  <c r="J92" i="75"/>
  <c r="J92" i="50"/>
  <c r="J92" i="48"/>
  <c r="J92" i="49"/>
  <c r="J92" i="44"/>
  <c r="J92" i="42"/>
  <c r="J92" i="40"/>
  <c r="J92" i="72"/>
  <c r="J92" i="71"/>
  <c r="J92" i="37"/>
  <c r="R54" i="35"/>
  <c r="K106" i="73"/>
  <c r="K106" i="70"/>
  <c r="K106" i="47"/>
  <c r="K106" i="39"/>
  <c r="K106" i="41"/>
  <c r="K106" i="38"/>
  <c r="K106" i="43"/>
  <c r="K106" i="36"/>
  <c r="K106" i="75"/>
  <c r="K106" i="72"/>
  <c r="K106" i="63"/>
  <c r="K106" i="46"/>
  <c r="K106" i="42"/>
  <c r="K106" i="76"/>
  <c r="K106" i="71"/>
  <c r="K106" i="50"/>
  <c r="K106" i="69"/>
  <c r="K106" i="40"/>
  <c r="K106" i="74"/>
  <c r="K106" i="45"/>
  <c r="K106" i="48"/>
  <c r="K106" i="49"/>
  <c r="K106" i="44"/>
  <c r="K106" i="37"/>
  <c r="J109" i="46"/>
  <c r="J140" i="46" s="1"/>
  <c r="J109" i="44"/>
  <c r="J140" i="44" s="1"/>
  <c r="J141" i="44" s="1"/>
  <c r="J249" i="44" s="1"/>
  <c r="J252" i="44" s="1"/>
  <c r="J260" i="44" s="1"/>
  <c r="J273" i="44" s="1"/>
  <c r="J274" i="44" s="1"/>
  <c r="J109" i="41"/>
  <c r="J140" i="41" s="1"/>
  <c r="J141" i="41" s="1"/>
  <c r="J249" i="41" s="1"/>
  <c r="J252" i="41" s="1"/>
  <c r="J260" i="41" s="1"/>
  <c r="J273" i="41" s="1"/>
  <c r="J274" i="41" s="1"/>
  <c r="R55" i="35"/>
  <c r="K107" i="75"/>
  <c r="K107" i="73"/>
  <c r="K109" i="73" s="1"/>
  <c r="K140" i="73" s="1"/>
  <c r="K107" i="72"/>
  <c r="K109" i="72" s="1"/>
  <c r="K140" i="72" s="1"/>
  <c r="K107" i="63"/>
  <c r="K107" i="45"/>
  <c r="K107" i="74"/>
  <c r="K109" i="74" s="1"/>
  <c r="K140" i="74" s="1"/>
  <c r="K107" i="49"/>
  <c r="K107" i="42"/>
  <c r="K109" i="42" s="1"/>
  <c r="K140" i="42" s="1"/>
  <c r="K107" i="47"/>
  <c r="K109" i="47" s="1"/>
  <c r="K140" i="47" s="1"/>
  <c r="K107" i="48"/>
  <c r="K109" i="48" s="1"/>
  <c r="K140" i="48" s="1"/>
  <c r="K107" i="38"/>
  <c r="K109" i="38" s="1"/>
  <c r="K140" i="38" s="1"/>
  <c r="K107" i="40"/>
  <c r="K107" i="39"/>
  <c r="K109" i="39" s="1"/>
  <c r="K140" i="39" s="1"/>
  <c r="K107" i="71"/>
  <c r="K107" i="50"/>
  <c r="K109" i="50" s="1"/>
  <c r="K140" i="50" s="1"/>
  <c r="K107" i="76"/>
  <c r="K109" i="76" s="1"/>
  <c r="K140" i="76" s="1"/>
  <c r="K141" i="76" s="1"/>
  <c r="K249" i="76" s="1"/>
  <c r="K252" i="76" s="1"/>
  <c r="K260" i="76" s="1"/>
  <c r="K273" i="76" s="1"/>
  <c r="K274" i="76" s="1"/>
  <c r="K107" i="46"/>
  <c r="K109" i="46" s="1"/>
  <c r="K140" i="46" s="1"/>
  <c r="K107" i="43"/>
  <c r="K109" i="43" s="1"/>
  <c r="K140" i="43" s="1"/>
  <c r="K107" i="44"/>
  <c r="K109" i="44" s="1"/>
  <c r="K140" i="44" s="1"/>
  <c r="K107" i="36"/>
  <c r="K109" i="36" s="1"/>
  <c r="K140" i="36" s="1"/>
  <c r="K107" i="70"/>
  <c r="K109" i="70" s="1"/>
  <c r="K140" i="70" s="1"/>
  <c r="K107" i="69"/>
  <c r="K109" i="69" s="1"/>
  <c r="K140" i="69" s="1"/>
  <c r="K141" i="69" s="1"/>
  <c r="K249" i="69" s="1"/>
  <c r="K252" i="69" s="1"/>
  <c r="K260" i="69" s="1"/>
  <c r="K273" i="69" s="1"/>
  <c r="K274" i="69" s="1"/>
  <c r="K107" i="41"/>
  <c r="K109" i="41" s="1"/>
  <c r="K140" i="41" s="1"/>
  <c r="K107" i="37"/>
  <c r="K109" i="37" s="1"/>
  <c r="K140" i="37" s="1"/>
  <c r="J141" i="74"/>
  <c r="J249" i="74" s="1"/>
  <c r="J252" i="74" s="1"/>
  <c r="J260" i="74" s="1"/>
  <c r="J273" i="74" s="1"/>
  <c r="J274" i="74" s="1"/>
  <c r="J141" i="37"/>
  <c r="J249" i="37" s="1"/>
  <c r="J252" i="37" s="1"/>
  <c r="J260" i="37" s="1"/>
  <c r="J273" i="37" s="1"/>
  <c r="J274" i="37" s="1"/>
  <c r="I141" i="37"/>
  <c r="I249" i="37" s="1"/>
  <c r="I252" i="37" s="1"/>
  <c r="I260" i="37" s="1"/>
  <c r="I273" i="37" s="1"/>
  <c r="I274" i="37" s="1"/>
  <c r="J109" i="72"/>
  <c r="J140" i="72" s="1"/>
  <c r="G94" i="39"/>
  <c r="G94" i="76"/>
  <c r="G94" i="75"/>
  <c r="G94" i="69"/>
  <c r="G94" i="63"/>
  <c r="G94" i="48"/>
  <c r="G94" i="50"/>
  <c r="G94" i="42"/>
  <c r="G94" i="74"/>
  <c r="G94" i="72"/>
  <c r="G94" i="47"/>
  <c r="G94" i="49"/>
  <c r="G94" i="43"/>
  <c r="G94" i="38"/>
  <c r="G94" i="73"/>
  <c r="G94" i="71"/>
  <c r="G94" i="41"/>
  <c r="G94" i="40"/>
  <c r="G94" i="37"/>
  <c r="G94" i="45"/>
  <c r="G94" i="70"/>
  <c r="G94" i="36"/>
  <c r="G94" i="44"/>
  <c r="G94" i="46"/>
  <c r="S14" i="35"/>
  <c r="R33" i="35"/>
  <c r="R34" i="35"/>
  <c r="S12" i="35"/>
  <c r="R30" i="35"/>
  <c r="R29" i="35"/>
  <c r="I141" i="48"/>
  <c r="I249" i="48" s="1"/>
  <c r="I252" i="48" s="1"/>
  <c r="I260" i="48" s="1"/>
  <c r="I273" i="48" s="1"/>
  <c r="I274" i="48" s="1"/>
  <c r="J141" i="48"/>
  <c r="J249" i="48" s="1"/>
  <c r="J252" i="48" s="1"/>
  <c r="J260" i="48" s="1"/>
  <c r="J273" i="48" s="1"/>
  <c r="J274" i="48" s="1"/>
  <c r="J109" i="70"/>
  <c r="J140" i="70" s="1"/>
  <c r="J109" i="50"/>
  <c r="J140" i="50" s="1"/>
  <c r="J109" i="43"/>
  <c r="J140" i="43" s="1"/>
  <c r="J109" i="73"/>
  <c r="J140" i="73" s="1"/>
  <c r="J109" i="47"/>
  <c r="J140" i="47" s="1"/>
  <c r="J141" i="71"/>
  <c r="J249" i="71" s="1"/>
  <c r="J252" i="71" s="1"/>
  <c r="J260" i="71" s="1"/>
  <c r="J273" i="71" s="1"/>
  <c r="J274" i="71" s="1"/>
  <c r="M27" i="3"/>
  <c r="L25" i="1" s="1"/>
  <c r="K25" i="1"/>
  <c r="J27" i="61"/>
  <c r="K22" i="61"/>
  <c r="J52" i="61"/>
  <c r="K42" i="61"/>
  <c r="F50" i="1"/>
  <c r="F49" i="1"/>
  <c r="V60" i="85"/>
  <c r="J59" i="85"/>
  <c r="J60" i="85" s="1"/>
  <c r="I266" i="3"/>
  <c r="I267" i="3"/>
  <c r="N8" i="35"/>
  <c r="N19" i="35"/>
  <c r="T22" i="85"/>
  <c r="J51" i="85"/>
  <c r="J56" i="85" s="1"/>
  <c r="J41" i="85"/>
  <c r="J39" i="85"/>
  <c r="J47" i="85"/>
  <c r="F25" i="1"/>
  <c r="Q16" i="35"/>
  <c r="R16" i="35" s="1"/>
  <c r="P38" i="35"/>
  <c r="P37" i="35"/>
  <c r="G58" i="85"/>
  <c r="G60" i="85" s="1"/>
  <c r="Q34" i="35"/>
  <c r="Q33" i="35"/>
  <c r="Q30" i="35"/>
  <c r="Q29" i="35"/>
  <c r="J39" i="35"/>
  <c r="J27" i="35"/>
  <c r="M51" i="85"/>
  <c r="M56" i="85" s="1"/>
  <c r="K51" i="85"/>
  <c r="K56" i="85" s="1"/>
  <c r="G40" i="85"/>
  <c r="Q34" i="85"/>
  <c r="Q46" i="85"/>
  <c r="R34" i="85"/>
  <c r="R46" i="85"/>
  <c r="H40" i="61"/>
  <c r="H54" i="61" s="1"/>
  <c r="I34" i="61"/>
  <c r="H68" i="61"/>
  <c r="I66" i="61"/>
  <c r="H115" i="61"/>
  <c r="H116" i="61" s="1"/>
  <c r="I101" i="61"/>
  <c r="H80" i="61"/>
  <c r="I78" i="61"/>
  <c r="G69" i="61"/>
  <c r="G175" i="61" s="1"/>
  <c r="G81" i="61"/>
  <c r="G176" i="61" s="1"/>
  <c r="O37" i="35"/>
  <c r="O38" i="35"/>
  <c r="O22" i="35"/>
  <c r="I36" i="3"/>
  <c r="H136" i="3"/>
  <c r="I131" i="3"/>
  <c r="G60" i="3"/>
  <c r="H58" i="3"/>
  <c r="I58" i="3" s="1"/>
  <c r="J58" i="3" s="1"/>
  <c r="K58" i="3" s="1"/>
  <c r="L58" i="3" s="1"/>
  <c r="M58" i="3" s="1"/>
  <c r="G63" i="3"/>
  <c r="M33" i="85"/>
  <c r="M36" i="85"/>
  <c r="N36" i="85"/>
  <c r="F117" i="61"/>
  <c r="F18" i="1"/>
  <c r="H24" i="3"/>
  <c r="I24" i="3" s="1"/>
  <c r="I66" i="85"/>
  <c r="H28" i="3"/>
  <c r="F26" i="1"/>
  <c r="M13" i="35"/>
  <c r="L32" i="35"/>
  <c r="L31" i="35"/>
  <c r="R67" i="85"/>
  <c r="P66" i="85"/>
  <c r="F19" i="1"/>
  <c r="G67" i="85"/>
  <c r="N38" i="35"/>
  <c r="N37" i="35"/>
  <c r="R66" i="85"/>
  <c r="N59" i="85"/>
  <c r="H212" i="3"/>
  <c r="G217" i="3"/>
  <c r="T67" i="85"/>
  <c r="O58" i="85"/>
  <c r="I4" i="35"/>
  <c r="O59" i="85"/>
  <c r="H269" i="3"/>
  <c r="H66" i="85"/>
  <c r="Q58" i="85"/>
  <c r="F27" i="1"/>
  <c r="I67" i="85"/>
  <c r="Q67" i="85"/>
  <c r="M40" i="35"/>
  <c r="N17" i="35"/>
  <c r="O17" i="35" s="1"/>
  <c r="H19" i="61"/>
  <c r="G20" i="61"/>
  <c r="G56" i="61" s="1"/>
  <c r="Q66" i="85"/>
  <c r="H127" i="3"/>
  <c r="G129" i="3"/>
  <c r="G138" i="3" s="1"/>
  <c r="U67" i="85"/>
  <c r="L67" i="85"/>
  <c r="S66" i="85"/>
  <c r="J67" i="85"/>
  <c r="G194" i="61"/>
  <c r="H191" i="61"/>
  <c r="I191" i="61" s="1"/>
  <c r="J191" i="61" s="1"/>
  <c r="O67" i="85"/>
  <c r="M66" i="85"/>
  <c r="J66" i="85"/>
  <c r="G66" i="85"/>
  <c r="N58" i="85"/>
  <c r="G35" i="3"/>
  <c r="T66" i="85"/>
  <c r="V67" i="85"/>
  <c r="R59" i="85"/>
  <c r="G98" i="61"/>
  <c r="H94" i="61"/>
  <c r="S67" i="85"/>
  <c r="M67" i="85"/>
  <c r="P67" i="85"/>
  <c r="H55" i="3"/>
  <c r="G57" i="3"/>
  <c r="R58" i="85"/>
  <c r="R60" i="85" s="1"/>
  <c r="Q59" i="85"/>
  <c r="K66" i="85"/>
  <c r="G92" i="3"/>
  <c r="G26" i="3"/>
  <c r="G116" i="3" s="1"/>
  <c r="M37" i="35"/>
  <c r="M38" i="35"/>
  <c r="M15" i="35"/>
  <c r="N15" i="35" s="1"/>
  <c r="O15" i="35" s="1"/>
  <c r="P15" i="35" s="1"/>
  <c r="L36" i="35"/>
  <c r="L35" i="35"/>
  <c r="N9" i="35"/>
  <c r="I507" i="60"/>
  <c r="J506" i="60"/>
  <c r="G43" i="85"/>
  <c r="G47" i="85"/>
  <c r="G51" i="85"/>
  <c r="G56" i="85" s="1"/>
  <c r="G39" i="85"/>
  <c r="G41" i="85"/>
  <c r="R51" i="85"/>
  <c r="R56" i="85" s="1"/>
  <c r="Q51" i="85"/>
  <c r="Q56" i="85" s="1"/>
  <c r="R47" i="85"/>
  <c r="Q47" i="85"/>
  <c r="H36" i="85"/>
  <c r="J452" i="60"/>
  <c r="I453" i="60"/>
  <c r="S36" i="85"/>
  <c r="Q35" i="85"/>
  <c r="Q41" i="85"/>
  <c r="Q33" i="85"/>
  <c r="Q43" i="85"/>
  <c r="Q39" i="85"/>
  <c r="R41" i="85"/>
  <c r="R35" i="85"/>
  <c r="R43" i="85"/>
  <c r="R39" i="85"/>
  <c r="R33" i="85"/>
  <c r="K141" i="72" l="1"/>
  <c r="K249" i="72" s="1"/>
  <c r="K252" i="72" s="1"/>
  <c r="K260" i="72" s="1"/>
  <c r="K273" i="72" s="1"/>
  <c r="K274" i="72" s="1"/>
  <c r="K94" i="40"/>
  <c r="K94" i="39"/>
  <c r="K94" i="75"/>
  <c r="K94" i="73"/>
  <c r="K94" i="63"/>
  <c r="K94" i="45"/>
  <c r="K94" i="38"/>
  <c r="K94" i="74"/>
  <c r="K94" i="71"/>
  <c r="K94" i="49"/>
  <c r="K94" i="50"/>
  <c r="K94" i="42"/>
  <c r="K94" i="72"/>
  <c r="K94" i="47"/>
  <c r="K94" i="48"/>
  <c r="K94" i="36"/>
  <c r="K94" i="69"/>
  <c r="K94" i="37"/>
  <c r="K94" i="70"/>
  <c r="K94" i="76"/>
  <c r="K94" i="46"/>
  <c r="K94" i="43"/>
  <c r="K94" i="44"/>
  <c r="K94" i="41"/>
  <c r="K52" i="61"/>
  <c r="L42" i="61"/>
  <c r="L52" i="61" s="1"/>
  <c r="K141" i="73"/>
  <c r="K249" i="73" s="1"/>
  <c r="K252" i="73" s="1"/>
  <c r="K260" i="73" s="1"/>
  <c r="K273" i="73" s="1"/>
  <c r="K274" i="73" s="1"/>
  <c r="J141" i="73"/>
  <c r="J249" i="73" s="1"/>
  <c r="J252" i="73" s="1"/>
  <c r="J260" i="73" s="1"/>
  <c r="J273" i="73" s="1"/>
  <c r="J274" i="73" s="1"/>
  <c r="S29" i="35"/>
  <c r="S30" i="35"/>
  <c r="S55" i="35"/>
  <c r="L107" i="74"/>
  <c r="L107" i="71"/>
  <c r="L107" i="63"/>
  <c r="L107" i="50"/>
  <c r="L107" i="73"/>
  <c r="L107" i="72"/>
  <c r="L107" i="42"/>
  <c r="L107" i="45"/>
  <c r="L107" i="36"/>
  <c r="L107" i="70"/>
  <c r="L107" i="69"/>
  <c r="L107" i="44"/>
  <c r="L107" i="41"/>
  <c r="L107" i="76"/>
  <c r="L107" i="46"/>
  <c r="L107" i="37"/>
  <c r="L107" i="40"/>
  <c r="L107" i="47"/>
  <c r="L107" i="48"/>
  <c r="L107" i="75"/>
  <c r="L107" i="49"/>
  <c r="L107" i="43"/>
  <c r="L109" i="43" s="1"/>
  <c r="L140" i="43" s="1"/>
  <c r="L107" i="38"/>
  <c r="L107" i="39"/>
  <c r="S54" i="35"/>
  <c r="L106" i="47"/>
  <c r="L106" i="43"/>
  <c r="L106" i="39"/>
  <c r="L106" i="41"/>
  <c r="L106" i="73"/>
  <c r="L106" i="36"/>
  <c r="L106" i="70"/>
  <c r="L106" i="38"/>
  <c r="L106" i="46"/>
  <c r="L106" i="44"/>
  <c r="L106" i="37"/>
  <c r="L106" i="75"/>
  <c r="L106" i="69"/>
  <c r="L106" i="48"/>
  <c r="L109" i="48" s="1"/>
  <c r="L140" i="48" s="1"/>
  <c r="L141" i="48" s="1"/>
  <c r="L249" i="48" s="1"/>
  <c r="L252" i="48" s="1"/>
  <c r="L260" i="48" s="1"/>
  <c r="L273" i="48" s="1"/>
  <c r="L274" i="48" s="1"/>
  <c r="L106" i="49"/>
  <c r="L106" i="76"/>
  <c r="L106" i="50"/>
  <c r="L106" i="42"/>
  <c r="L109" i="42" s="1"/>
  <c r="L140" i="42" s="1"/>
  <c r="L141" i="42" s="1"/>
  <c r="L249" i="42" s="1"/>
  <c r="L252" i="42" s="1"/>
  <c r="L260" i="42" s="1"/>
  <c r="L273" i="42" s="1"/>
  <c r="L274" i="42" s="1"/>
  <c r="L106" i="74"/>
  <c r="L106" i="72"/>
  <c r="L106" i="71"/>
  <c r="L106" i="63"/>
  <c r="L106" i="45"/>
  <c r="L109" i="45" s="1"/>
  <c r="L140" i="45" s="1"/>
  <c r="L106" i="40"/>
  <c r="S16" i="35"/>
  <c r="R38" i="35"/>
  <c r="R37" i="35"/>
  <c r="K141" i="43"/>
  <c r="K249" i="43" s="1"/>
  <c r="K252" i="43" s="1"/>
  <c r="K260" i="43" s="1"/>
  <c r="K273" i="43" s="1"/>
  <c r="K274" i="43" s="1"/>
  <c r="J141" i="43"/>
  <c r="J249" i="43" s="1"/>
  <c r="J252" i="43" s="1"/>
  <c r="J260" i="43" s="1"/>
  <c r="J273" i="43" s="1"/>
  <c r="J274" i="43" s="1"/>
  <c r="K141" i="41"/>
  <c r="K249" i="41" s="1"/>
  <c r="K252" i="41" s="1"/>
  <c r="K260" i="41" s="1"/>
  <c r="K273" i="41" s="1"/>
  <c r="K274" i="41" s="1"/>
  <c r="K141" i="44"/>
  <c r="K249" i="44" s="1"/>
  <c r="K252" i="44" s="1"/>
  <c r="K260" i="44" s="1"/>
  <c r="K273" i="44" s="1"/>
  <c r="K274" i="44" s="1"/>
  <c r="K109" i="71"/>
  <c r="K140" i="71" s="1"/>
  <c r="K109" i="63"/>
  <c r="K140" i="63" s="1"/>
  <c r="K141" i="36"/>
  <c r="K249" i="36" s="1"/>
  <c r="K252" i="36" s="1"/>
  <c r="K260" i="36" s="1"/>
  <c r="K273" i="36" s="1"/>
  <c r="K274" i="36" s="1"/>
  <c r="J141" i="45"/>
  <c r="J249" i="45" s="1"/>
  <c r="J252" i="45" s="1"/>
  <c r="J260" i="45" s="1"/>
  <c r="J273" i="45" s="1"/>
  <c r="J274" i="45" s="1"/>
  <c r="K92" i="47"/>
  <c r="K92" i="74"/>
  <c r="K92" i="69"/>
  <c r="K92" i="45"/>
  <c r="K92" i="46"/>
  <c r="K92" i="41"/>
  <c r="K92" i="73"/>
  <c r="K92" i="70"/>
  <c r="K92" i="38"/>
  <c r="K92" i="36"/>
  <c r="K92" i="43"/>
  <c r="K92" i="39"/>
  <c r="K92" i="75"/>
  <c r="K92" i="63"/>
  <c r="K92" i="49"/>
  <c r="K92" i="48"/>
  <c r="K92" i="37"/>
  <c r="K92" i="76"/>
  <c r="K92" i="72"/>
  <c r="K92" i="71"/>
  <c r="K92" i="50"/>
  <c r="K92" i="44"/>
  <c r="K92" i="42"/>
  <c r="K92" i="40"/>
  <c r="K27" i="61"/>
  <c r="L22" i="61"/>
  <c r="L27" i="61" s="1"/>
  <c r="K141" i="50"/>
  <c r="K249" i="50" s="1"/>
  <c r="K252" i="50" s="1"/>
  <c r="K260" i="50" s="1"/>
  <c r="K273" i="50" s="1"/>
  <c r="K274" i="50" s="1"/>
  <c r="J141" i="50"/>
  <c r="J249" i="50" s="1"/>
  <c r="J252" i="50" s="1"/>
  <c r="J260" i="50" s="1"/>
  <c r="J273" i="50" s="1"/>
  <c r="J274" i="50" s="1"/>
  <c r="L92" i="47"/>
  <c r="L92" i="45"/>
  <c r="L92" i="69"/>
  <c r="L92" i="46"/>
  <c r="L92" i="74"/>
  <c r="L92" i="73"/>
  <c r="L92" i="43"/>
  <c r="L92" i="70"/>
  <c r="L92" i="39"/>
  <c r="L92" i="36"/>
  <c r="L92" i="41"/>
  <c r="L92" i="38"/>
  <c r="L92" i="75"/>
  <c r="L92" i="63"/>
  <c r="L92" i="50"/>
  <c r="L92" i="71"/>
  <c r="L92" i="44"/>
  <c r="L92" i="37"/>
  <c r="L92" i="72"/>
  <c r="L92" i="48"/>
  <c r="L92" i="76"/>
  <c r="L92" i="49"/>
  <c r="L92" i="42"/>
  <c r="L92" i="40"/>
  <c r="L94" i="73"/>
  <c r="L94" i="72"/>
  <c r="L94" i="50"/>
  <c r="L94" i="42"/>
  <c r="L94" i="45"/>
  <c r="L94" i="36"/>
  <c r="L94" i="74"/>
  <c r="L94" i="71"/>
  <c r="L94" i="63"/>
  <c r="L94" i="75"/>
  <c r="L94" i="46"/>
  <c r="L94" i="38"/>
  <c r="L94" i="48"/>
  <c r="L94" i="47"/>
  <c r="L94" i="76"/>
  <c r="L102" i="76" s="1"/>
  <c r="L94" i="49"/>
  <c r="L94" i="70"/>
  <c r="L94" i="69"/>
  <c r="L94" i="37"/>
  <c r="L94" i="43"/>
  <c r="L94" i="44"/>
  <c r="L94" i="41"/>
  <c r="L94" i="40"/>
  <c r="L94" i="39"/>
  <c r="K109" i="49"/>
  <c r="K140" i="49" s="1"/>
  <c r="K109" i="40"/>
  <c r="K140" i="40" s="1"/>
  <c r="J141" i="72"/>
  <c r="J249" i="72" s="1"/>
  <c r="J252" i="72" s="1"/>
  <c r="J260" i="72" s="1"/>
  <c r="J273" i="72" s="1"/>
  <c r="J274" i="72" s="1"/>
  <c r="K141" i="63"/>
  <c r="K249" i="63" s="1"/>
  <c r="K252" i="63" s="1"/>
  <c r="K260" i="63" s="1"/>
  <c r="K273" i="63" s="1"/>
  <c r="K274" i="63" s="1"/>
  <c r="J141" i="63"/>
  <c r="J249" i="63" s="1"/>
  <c r="J252" i="63" s="1"/>
  <c r="J260" i="63" s="1"/>
  <c r="J273" i="63" s="1"/>
  <c r="J274" i="63" s="1"/>
  <c r="K141" i="37"/>
  <c r="K249" i="37" s="1"/>
  <c r="K252" i="37" s="1"/>
  <c r="K260" i="37" s="1"/>
  <c r="K273" i="37" s="1"/>
  <c r="K274" i="37" s="1"/>
  <c r="K141" i="74"/>
  <c r="K249" i="74" s="1"/>
  <c r="K252" i="74" s="1"/>
  <c r="K260" i="74" s="1"/>
  <c r="K273" i="74" s="1"/>
  <c r="K274" i="74" s="1"/>
  <c r="M63" i="3"/>
  <c r="M60" i="3"/>
  <c r="K141" i="47"/>
  <c r="K249" i="47" s="1"/>
  <c r="K252" i="47" s="1"/>
  <c r="K260" i="47" s="1"/>
  <c r="K273" i="47" s="1"/>
  <c r="K274" i="47" s="1"/>
  <c r="J141" i="47"/>
  <c r="J249" i="47" s="1"/>
  <c r="J252" i="47" s="1"/>
  <c r="J260" i="47" s="1"/>
  <c r="J273" i="47" s="1"/>
  <c r="J274" i="47" s="1"/>
  <c r="J141" i="70"/>
  <c r="J249" i="70" s="1"/>
  <c r="J252" i="70" s="1"/>
  <c r="J260" i="70" s="1"/>
  <c r="J273" i="70" s="1"/>
  <c r="J274" i="70" s="1"/>
  <c r="K141" i="70"/>
  <c r="K249" i="70" s="1"/>
  <c r="K252" i="70" s="1"/>
  <c r="K260" i="70" s="1"/>
  <c r="K273" i="70" s="1"/>
  <c r="K274" i="70" s="1"/>
  <c r="S34" i="35"/>
  <c r="S33" i="35"/>
  <c r="K109" i="45"/>
  <c r="K140" i="45" s="1"/>
  <c r="L141" i="45" s="1"/>
  <c r="L249" i="45" s="1"/>
  <c r="L252" i="45" s="1"/>
  <c r="L260" i="45" s="1"/>
  <c r="L273" i="45" s="1"/>
  <c r="L274" i="45" s="1"/>
  <c r="K141" i="46"/>
  <c r="K249" i="46" s="1"/>
  <c r="K252" i="46" s="1"/>
  <c r="K260" i="46" s="1"/>
  <c r="K273" i="46" s="1"/>
  <c r="K274" i="46" s="1"/>
  <c r="J141" i="46"/>
  <c r="J249" i="46" s="1"/>
  <c r="J252" i="46" s="1"/>
  <c r="J260" i="46" s="1"/>
  <c r="J273" i="46" s="1"/>
  <c r="J274" i="46" s="1"/>
  <c r="K109" i="75"/>
  <c r="K140" i="75" s="1"/>
  <c r="K141" i="38"/>
  <c r="K249" i="38" s="1"/>
  <c r="K252" i="38" s="1"/>
  <c r="K260" i="38" s="1"/>
  <c r="K273" i="38" s="1"/>
  <c r="K274" i="38" s="1"/>
  <c r="K141" i="42"/>
  <c r="K249" i="42" s="1"/>
  <c r="K252" i="42" s="1"/>
  <c r="K260" i="42" s="1"/>
  <c r="K273" i="42" s="1"/>
  <c r="K274" i="42" s="1"/>
  <c r="K141" i="39"/>
  <c r="K249" i="39" s="1"/>
  <c r="K252" i="39" s="1"/>
  <c r="K260" i="39" s="1"/>
  <c r="K273" i="39" s="1"/>
  <c r="K274" i="39" s="1"/>
  <c r="K141" i="48"/>
  <c r="K249" i="48" s="1"/>
  <c r="K252" i="48" s="1"/>
  <c r="K260" i="48" s="1"/>
  <c r="K273" i="48" s="1"/>
  <c r="K274" i="48" s="1"/>
  <c r="J194" i="61"/>
  <c r="K191" i="61"/>
  <c r="I269" i="3"/>
  <c r="F51" i="1"/>
  <c r="G50" i="1"/>
  <c r="G49" i="1"/>
  <c r="N60" i="85"/>
  <c r="O60" i="85"/>
  <c r="L59" i="85"/>
  <c r="L60" i="85" s="1"/>
  <c r="T59" i="85"/>
  <c r="T60" i="85" s="1"/>
  <c r="U59" i="85"/>
  <c r="U60" i="85" s="1"/>
  <c r="Q60" i="85"/>
  <c r="K59" i="85"/>
  <c r="K60" i="85" s="1"/>
  <c r="L63" i="3"/>
  <c r="L60" i="3"/>
  <c r="J267" i="3"/>
  <c r="J266" i="3"/>
  <c r="L35" i="85"/>
  <c r="P35" i="85"/>
  <c r="O35" i="85"/>
  <c r="I35" i="85"/>
  <c r="M35" i="85"/>
  <c r="K35" i="85"/>
  <c r="N35" i="85"/>
  <c r="J35" i="85"/>
  <c r="K33" i="85"/>
  <c r="T32" i="85"/>
  <c r="H35" i="85"/>
  <c r="S22" i="85"/>
  <c r="N22" i="85"/>
  <c r="U22" i="85"/>
  <c r="K60" i="3"/>
  <c r="K63" i="3"/>
  <c r="M58" i="85"/>
  <c r="M60" i="85" s="1"/>
  <c r="H58" i="85"/>
  <c r="H60" i="85" s="1"/>
  <c r="O40" i="35"/>
  <c r="P17" i="35"/>
  <c r="I58" i="85"/>
  <c r="I60" i="85" s="1"/>
  <c r="Q15" i="35"/>
  <c r="R15" i="35" s="1"/>
  <c r="P35" i="35"/>
  <c r="P36" i="35"/>
  <c r="S58" i="85"/>
  <c r="S60" i="85" s="1"/>
  <c r="P58" i="85"/>
  <c r="P60" i="85" s="1"/>
  <c r="Q38" i="35"/>
  <c r="Q37" i="35"/>
  <c r="M22" i="85"/>
  <c r="P22" i="35"/>
  <c r="O8" i="35"/>
  <c r="T42" i="85"/>
  <c r="T44" i="85" s="1"/>
  <c r="G35" i="85"/>
  <c r="H22" i="85"/>
  <c r="Q49" i="85"/>
  <c r="R49" i="85"/>
  <c r="I115" i="61"/>
  <c r="J101" i="61"/>
  <c r="I40" i="61"/>
  <c r="I54" i="61" s="1"/>
  <c r="J34" i="61"/>
  <c r="I80" i="61"/>
  <c r="J78" i="61"/>
  <c r="I68" i="61"/>
  <c r="J66" i="61"/>
  <c r="G64" i="3"/>
  <c r="G61" i="3" s="1"/>
  <c r="H19" i="1"/>
  <c r="J63" i="3"/>
  <c r="J60" i="3"/>
  <c r="I136" i="3"/>
  <c r="J131" i="3"/>
  <c r="J36" i="3"/>
  <c r="H18" i="1"/>
  <c r="J24" i="3"/>
  <c r="L43" i="35"/>
  <c r="L27" i="35" s="1"/>
  <c r="P19" i="35"/>
  <c r="H33" i="85"/>
  <c r="N33" i="85"/>
  <c r="G105" i="3"/>
  <c r="H98" i="61"/>
  <c r="I94" i="61"/>
  <c r="H81" i="61"/>
  <c r="H176" i="61" s="1"/>
  <c r="I194" i="61"/>
  <c r="H20" i="61"/>
  <c r="H56" i="61" s="1"/>
  <c r="H57" i="61" s="1"/>
  <c r="H174" i="61" s="1"/>
  <c r="I19" i="61"/>
  <c r="H69" i="61"/>
  <c r="H175" i="61" s="1"/>
  <c r="H194" i="61"/>
  <c r="G57" i="61"/>
  <c r="G174" i="61" s="1"/>
  <c r="O35" i="35"/>
  <c r="O36" i="35"/>
  <c r="N42" i="35"/>
  <c r="O23" i="35"/>
  <c r="O9" i="35" s="1"/>
  <c r="O19" i="35"/>
  <c r="I60" i="3"/>
  <c r="I63" i="3"/>
  <c r="I26" i="3"/>
  <c r="I92" i="3"/>
  <c r="G26" i="1"/>
  <c r="I28" i="3"/>
  <c r="H217" i="3"/>
  <c r="H256" i="3" s="1"/>
  <c r="G42" i="1" s="1"/>
  <c r="I212" i="3"/>
  <c r="H129" i="3"/>
  <c r="H138" i="3" s="1"/>
  <c r="I127" i="3"/>
  <c r="H57" i="3"/>
  <c r="H100" i="3" s="1"/>
  <c r="I55" i="3"/>
  <c r="G25" i="1"/>
  <c r="K36" i="85"/>
  <c r="H60" i="3"/>
  <c r="H63" i="3"/>
  <c r="G32" i="3"/>
  <c r="G112" i="3" s="1"/>
  <c r="M32" i="85"/>
  <c r="G108" i="3"/>
  <c r="H35" i="3"/>
  <c r="H29" i="3"/>
  <c r="N32" i="85"/>
  <c r="G117" i="61"/>
  <c r="G47" i="3"/>
  <c r="G72" i="3"/>
  <c r="G77" i="3" s="1"/>
  <c r="G44" i="3"/>
  <c r="G100" i="3"/>
  <c r="G48" i="3"/>
  <c r="G45" i="3"/>
  <c r="J4" i="35"/>
  <c r="H196" i="3"/>
  <c r="G200" i="3"/>
  <c r="G19" i="1"/>
  <c r="N13" i="35"/>
  <c r="O13" i="35" s="1"/>
  <c r="P13" i="35" s="1"/>
  <c r="M31" i="35"/>
  <c r="M32" i="35"/>
  <c r="G106" i="3"/>
  <c r="N36" i="35"/>
  <c r="N35" i="35"/>
  <c r="H223" i="3"/>
  <c r="G230" i="3"/>
  <c r="N40" i="35"/>
  <c r="P33" i="85"/>
  <c r="P36" i="85"/>
  <c r="Q31" i="85"/>
  <c r="H31" i="85"/>
  <c r="U31" i="85"/>
  <c r="P31" i="85"/>
  <c r="V31" i="85"/>
  <c r="G31" i="85"/>
  <c r="I31" i="85"/>
  <c r="K31" i="85"/>
  <c r="M31" i="85"/>
  <c r="S31" i="85"/>
  <c r="N31" i="85"/>
  <c r="L31" i="85"/>
  <c r="O31" i="85"/>
  <c r="J31" i="85"/>
  <c r="R31" i="85"/>
  <c r="G180" i="3"/>
  <c r="H177" i="3"/>
  <c r="H26" i="3"/>
  <c r="G18" i="1"/>
  <c r="H92" i="3"/>
  <c r="G104" i="3"/>
  <c r="G152" i="3"/>
  <c r="H146" i="3"/>
  <c r="G187" i="3"/>
  <c r="H182" i="3"/>
  <c r="G164" i="3"/>
  <c r="H158" i="3"/>
  <c r="F20" i="1"/>
  <c r="M36" i="35"/>
  <c r="M35" i="35"/>
  <c r="J507" i="60"/>
  <c r="I508" i="60"/>
  <c r="H32" i="85"/>
  <c r="H46" i="85"/>
  <c r="H49" i="85" s="1"/>
  <c r="J453" i="60"/>
  <c r="I454" i="60"/>
  <c r="Q36" i="85"/>
  <c r="L109" i="76" l="1"/>
  <c r="L140" i="76" s="1"/>
  <c r="L109" i="70"/>
  <c r="L140" i="70" s="1"/>
  <c r="L109" i="49"/>
  <c r="L140" i="49" s="1"/>
  <c r="L141" i="49" s="1"/>
  <c r="L249" i="49" s="1"/>
  <c r="L252" i="49" s="1"/>
  <c r="L260" i="49" s="1"/>
  <c r="L273" i="49" s="1"/>
  <c r="L274" i="49" s="1"/>
  <c r="M94" i="72"/>
  <c r="M94" i="50"/>
  <c r="M94" i="42"/>
  <c r="M94" i="75"/>
  <c r="M94" i="37"/>
  <c r="M94" i="73"/>
  <c r="M94" i="63"/>
  <c r="M94" i="49"/>
  <c r="M94" i="71"/>
  <c r="M94" i="76"/>
  <c r="M102" i="76" s="1"/>
  <c r="M94" i="69"/>
  <c r="M94" i="41"/>
  <c r="M94" i="36"/>
  <c r="M94" i="74"/>
  <c r="M94" i="47"/>
  <c r="M94" i="70"/>
  <c r="M94" i="45"/>
  <c r="M94" i="43"/>
  <c r="M94" i="44"/>
  <c r="M94" i="40"/>
  <c r="M94" i="39"/>
  <c r="M94" i="38"/>
  <c r="M94" i="46"/>
  <c r="M94" i="48"/>
  <c r="K141" i="71"/>
  <c r="K249" i="71" s="1"/>
  <c r="K252" i="71" s="1"/>
  <c r="K260" i="71" s="1"/>
  <c r="K273" i="71" s="1"/>
  <c r="K274" i="71" s="1"/>
  <c r="L109" i="71"/>
  <c r="L140" i="71" s="1"/>
  <c r="L141" i="71" s="1"/>
  <c r="L249" i="71" s="1"/>
  <c r="L252" i="71" s="1"/>
  <c r="L260" i="71" s="1"/>
  <c r="L273" i="71" s="1"/>
  <c r="L274" i="71" s="1"/>
  <c r="S15" i="35"/>
  <c r="R35" i="35"/>
  <c r="R36" i="35"/>
  <c r="K141" i="40"/>
  <c r="K249" i="40" s="1"/>
  <c r="K252" i="40" s="1"/>
  <c r="K260" i="40" s="1"/>
  <c r="K273" i="40" s="1"/>
  <c r="K274" i="40" s="1"/>
  <c r="K141" i="45"/>
  <c r="K249" i="45" s="1"/>
  <c r="K252" i="45" s="1"/>
  <c r="K260" i="45" s="1"/>
  <c r="K273" i="45" s="1"/>
  <c r="K274" i="45" s="1"/>
  <c r="L109" i="72"/>
  <c r="L140" i="72" s="1"/>
  <c r="L141" i="72" s="1"/>
  <c r="L249" i="72" s="1"/>
  <c r="L252" i="72" s="1"/>
  <c r="L260" i="72" s="1"/>
  <c r="L273" i="72" s="1"/>
  <c r="L274" i="72" s="1"/>
  <c r="M106" i="70"/>
  <c r="M106" i="47"/>
  <c r="M106" i="41"/>
  <c r="M106" i="73"/>
  <c r="M106" i="43"/>
  <c r="M106" i="38"/>
  <c r="M106" i="36"/>
  <c r="M106" i="74"/>
  <c r="M106" i="63"/>
  <c r="M106" i="45"/>
  <c r="M106" i="49"/>
  <c r="M106" i="75"/>
  <c r="M106" i="71"/>
  <c r="M106" i="69"/>
  <c r="M106" i="40"/>
  <c r="M106" i="48"/>
  <c r="M106" i="44"/>
  <c r="M106" i="39"/>
  <c r="M106" i="76"/>
  <c r="M106" i="72"/>
  <c r="M106" i="46"/>
  <c r="M106" i="50"/>
  <c r="M106" i="42"/>
  <c r="M106" i="37"/>
  <c r="L109" i="40"/>
  <c r="L140" i="40" s="1"/>
  <c r="L109" i="41"/>
  <c r="L140" i="41" s="1"/>
  <c r="L109" i="36"/>
  <c r="L140" i="36" s="1"/>
  <c r="L141" i="36" s="1"/>
  <c r="L249" i="36" s="1"/>
  <c r="L252" i="36" s="1"/>
  <c r="L260" i="36" s="1"/>
  <c r="L273" i="36" s="1"/>
  <c r="L274" i="36" s="1"/>
  <c r="L109" i="73"/>
  <c r="L140" i="73" s="1"/>
  <c r="L109" i="74"/>
  <c r="L140" i="74" s="1"/>
  <c r="L141" i="74" s="1"/>
  <c r="L249" i="74" s="1"/>
  <c r="L252" i="74" s="1"/>
  <c r="L260" i="74" s="1"/>
  <c r="L273" i="74" s="1"/>
  <c r="L274" i="74" s="1"/>
  <c r="G93" i="75"/>
  <c r="G93" i="74"/>
  <c r="G93" i="72"/>
  <c r="G93" i="71"/>
  <c r="G93" i="63"/>
  <c r="G93" i="73"/>
  <c r="G93" i="69"/>
  <c r="G93" i="70"/>
  <c r="G93" i="45"/>
  <c r="G93" i="49"/>
  <c r="G93" i="76"/>
  <c r="G93" i="46"/>
  <c r="G93" i="48"/>
  <c r="G93" i="50"/>
  <c r="G93" i="42"/>
  <c r="G93" i="43"/>
  <c r="G93" i="47"/>
  <c r="G93" i="41"/>
  <c r="G93" i="39"/>
  <c r="G93" i="36"/>
  <c r="G93" i="44"/>
  <c r="G93" i="40"/>
  <c r="G93" i="38"/>
  <c r="G93" i="37"/>
  <c r="K141" i="75"/>
  <c r="K249" i="75" s="1"/>
  <c r="K252" i="75" s="1"/>
  <c r="K260" i="75" s="1"/>
  <c r="K273" i="75" s="1"/>
  <c r="K274" i="75" s="1"/>
  <c r="K194" i="61"/>
  <c r="L191" i="61"/>
  <c r="K141" i="49"/>
  <c r="K249" i="49" s="1"/>
  <c r="K252" i="49" s="1"/>
  <c r="K260" i="49" s="1"/>
  <c r="K273" i="49" s="1"/>
  <c r="K274" i="49" s="1"/>
  <c r="L141" i="43"/>
  <c r="L249" i="43" s="1"/>
  <c r="L252" i="43" s="1"/>
  <c r="L260" i="43" s="1"/>
  <c r="L273" i="43" s="1"/>
  <c r="L274" i="43" s="1"/>
  <c r="L109" i="39"/>
  <c r="L140" i="39" s="1"/>
  <c r="L109" i="75"/>
  <c r="L140" i="75" s="1"/>
  <c r="L141" i="75" s="1"/>
  <c r="L249" i="75" s="1"/>
  <c r="L252" i="75" s="1"/>
  <c r="L260" i="75" s="1"/>
  <c r="L273" i="75" s="1"/>
  <c r="L274" i="75" s="1"/>
  <c r="L109" i="37"/>
  <c r="L140" i="37" s="1"/>
  <c r="L109" i="44"/>
  <c r="L140" i="44" s="1"/>
  <c r="L109" i="50"/>
  <c r="L140" i="50" s="1"/>
  <c r="M107" i="72"/>
  <c r="M107" i="50"/>
  <c r="M107" i="71"/>
  <c r="M107" i="37"/>
  <c r="M107" i="73"/>
  <c r="M107" i="63"/>
  <c r="M107" i="49"/>
  <c r="M107" i="42"/>
  <c r="M107" i="75"/>
  <c r="M107" i="45"/>
  <c r="M107" i="43"/>
  <c r="M109" i="43" s="1"/>
  <c r="M140" i="43" s="1"/>
  <c r="M141" i="43" s="1"/>
  <c r="M249" i="43" s="1"/>
  <c r="M252" i="43" s="1"/>
  <c r="M260" i="43" s="1"/>
  <c r="M273" i="43" s="1"/>
  <c r="M274" i="43" s="1"/>
  <c r="M107" i="44"/>
  <c r="M109" i="44" s="1"/>
  <c r="M140" i="44" s="1"/>
  <c r="M107" i="69"/>
  <c r="M107" i="36"/>
  <c r="M107" i="74"/>
  <c r="M109" i="74" s="1"/>
  <c r="M140" i="74" s="1"/>
  <c r="M107" i="70"/>
  <c r="M109" i="70" s="1"/>
  <c r="M140" i="70" s="1"/>
  <c r="M141" i="70" s="1"/>
  <c r="M249" i="70" s="1"/>
  <c r="M252" i="70" s="1"/>
  <c r="M260" i="70" s="1"/>
  <c r="M273" i="70" s="1"/>
  <c r="M274" i="70" s="1"/>
  <c r="M107" i="40"/>
  <c r="M107" i="47"/>
  <c r="M109" i="47" s="1"/>
  <c r="M140" i="47" s="1"/>
  <c r="M107" i="76"/>
  <c r="M109" i="76" s="1"/>
  <c r="M107" i="41"/>
  <c r="M107" i="39"/>
  <c r="M109" i="39" s="1"/>
  <c r="M140" i="39" s="1"/>
  <c r="M107" i="38"/>
  <c r="M109" i="38" s="1"/>
  <c r="M140" i="38" s="1"/>
  <c r="M107" i="48"/>
  <c r="M107" i="46"/>
  <c r="M109" i="46" s="1"/>
  <c r="M140" i="46" s="1"/>
  <c r="S38" i="35"/>
  <c r="S37" i="35"/>
  <c r="L109" i="47"/>
  <c r="L140" i="47" s="1"/>
  <c r="L141" i="47" s="1"/>
  <c r="L249" i="47" s="1"/>
  <c r="L252" i="47" s="1"/>
  <c r="L260" i="47" s="1"/>
  <c r="L273" i="47" s="1"/>
  <c r="L274" i="47" s="1"/>
  <c r="L141" i="70"/>
  <c r="L249" i="70" s="1"/>
  <c r="L252" i="70" s="1"/>
  <c r="L260" i="70" s="1"/>
  <c r="L273" i="70" s="1"/>
  <c r="L274" i="70" s="1"/>
  <c r="L109" i="38"/>
  <c r="L140" i="38" s="1"/>
  <c r="L109" i="46"/>
  <c r="L140" i="46" s="1"/>
  <c r="L109" i="69"/>
  <c r="L140" i="69" s="1"/>
  <c r="L109" i="63"/>
  <c r="L140" i="63" s="1"/>
  <c r="M92" i="47"/>
  <c r="M92" i="74"/>
  <c r="M92" i="69"/>
  <c r="M92" i="45"/>
  <c r="M92" i="46"/>
  <c r="M92" i="43"/>
  <c r="M92" i="41"/>
  <c r="M92" i="73"/>
  <c r="M92" i="70"/>
  <c r="M92" i="39"/>
  <c r="M92" i="38"/>
  <c r="M92" i="36"/>
  <c r="M92" i="40"/>
  <c r="M92" i="63"/>
  <c r="M92" i="49"/>
  <c r="M92" i="50"/>
  <c r="M92" i="76"/>
  <c r="M92" i="75"/>
  <c r="M92" i="48"/>
  <c r="M92" i="42"/>
  <c r="M92" i="37"/>
  <c r="M92" i="72"/>
  <c r="M92" i="71"/>
  <c r="M92" i="44"/>
  <c r="G51" i="1"/>
  <c r="I81" i="61"/>
  <c r="I176" i="61" s="1"/>
  <c r="J80" i="61"/>
  <c r="K78" i="61"/>
  <c r="J115" i="61"/>
  <c r="K101" i="61"/>
  <c r="J68" i="61"/>
  <c r="K66" i="61"/>
  <c r="J40" i="61"/>
  <c r="J54" i="61" s="1"/>
  <c r="K34" i="61"/>
  <c r="H50" i="1"/>
  <c r="H49" i="1"/>
  <c r="J19" i="1"/>
  <c r="K266" i="3"/>
  <c r="L266" i="3" s="1"/>
  <c r="M266" i="3" s="1"/>
  <c r="J269" i="3"/>
  <c r="K267" i="3"/>
  <c r="K34" i="85"/>
  <c r="I34" i="85"/>
  <c r="J34" i="85"/>
  <c r="M37" i="85"/>
  <c r="N46" i="85"/>
  <c r="N49" i="85" s="1"/>
  <c r="N42" i="85"/>
  <c r="N44" i="85" s="1"/>
  <c r="U32" i="85"/>
  <c r="U37" i="85" s="1"/>
  <c r="G34" i="85"/>
  <c r="H34" i="85"/>
  <c r="H37" i="85" s="1"/>
  <c r="I18" i="1"/>
  <c r="K24" i="3"/>
  <c r="J136" i="3"/>
  <c r="K131" i="3"/>
  <c r="K36" i="3"/>
  <c r="Q36" i="35"/>
  <c r="Q35" i="35"/>
  <c r="Q17" i="35"/>
  <c r="P40" i="35"/>
  <c r="P8" i="35"/>
  <c r="Q22" i="35"/>
  <c r="R22" i="35" s="1"/>
  <c r="Q13" i="35"/>
  <c r="R13" i="35" s="1"/>
  <c r="P31" i="35"/>
  <c r="P32" i="35"/>
  <c r="Q22" i="85"/>
  <c r="K22" i="85"/>
  <c r="N37" i="85"/>
  <c r="P32" i="85"/>
  <c r="P37" i="85" s="1"/>
  <c r="P22" i="85"/>
  <c r="M42" i="85"/>
  <c r="M44" i="85" s="1"/>
  <c r="S42" i="85"/>
  <c r="S44" i="85" s="1"/>
  <c r="L39" i="35"/>
  <c r="S32" i="85"/>
  <c r="S37" i="85" s="1"/>
  <c r="AA31" i="85"/>
  <c r="AA37" i="85" s="1"/>
  <c r="AA62" i="85" s="1"/>
  <c r="AA71" i="85" s="1"/>
  <c r="AA72" i="85" s="1"/>
  <c r="Z31" i="85"/>
  <c r="Z37" i="85" s="1"/>
  <c r="Z62" i="85" s="1"/>
  <c r="Z71" i="85" s="1"/>
  <c r="Z72" i="85" s="1"/>
  <c r="W31" i="85"/>
  <c r="W37" i="85" s="1"/>
  <c r="W62" i="85" s="1"/>
  <c r="W71" i="85" s="1"/>
  <c r="W72" i="85" s="1"/>
  <c r="Y31" i="85"/>
  <c r="Y37" i="85" s="1"/>
  <c r="Y62" i="85" s="1"/>
  <c r="Y71" i="85" s="1"/>
  <c r="Y72" i="85" s="1"/>
  <c r="AE31" i="85"/>
  <c r="AE37" i="85" s="1"/>
  <c r="AE62" i="85" s="1"/>
  <c r="AE71" i="85" s="1"/>
  <c r="AE72" i="85" s="1"/>
  <c r="AB31" i="85"/>
  <c r="AB37" i="85" s="1"/>
  <c r="AB62" i="85" s="1"/>
  <c r="AB71" i="85" s="1"/>
  <c r="AB72" i="85" s="1"/>
  <c r="AC31" i="85"/>
  <c r="AC37" i="85" s="1"/>
  <c r="AC62" i="85" s="1"/>
  <c r="AC71" i="85" s="1"/>
  <c r="AC72" i="85" s="1"/>
  <c r="T31" i="85"/>
  <c r="T37" i="85" s="1"/>
  <c r="T62" i="85" s="1"/>
  <c r="T71" i="85" s="1"/>
  <c r="T72" i="85" s="1"/>
  <c r="X31" i="85"/>
  <c r="X37" i="85" s="1"/>
  <c r="X62" i="85" s="1"/>
  <c r="X71" i="85" s="1"/>
  <c r="X72" i="85" s="1"/>
  <c r="AD31" i="85"/>
  <c r="AD37" i="85" s="1"/>
  <c r="AD62" i="85" s="1"/>
  <c r="AD71" i="85" s="1"/>
  <c r="AD72" i="85" s="1"/>
  <c r="H42" i="85"/>
  <c r="H44" i="85" s="1"/>
  <c r="J69" i="61"/>
  <c r="J175" i="61" s="1"/>
  <c r="I20" i="61"/>
  <c r="I56" i="61" s="1"/>
  <c r="I57" i="61" s="1"/>
  <c r="I174" i="61" s="1"/>
  <c r="J19" i="61"/>
  <c r="I98" i="61"/>
  <c r="I117" i="61" s="1"/>
  <c r="J94" i="61"/>
  <c r="I69" i="61"/>
  <c r="I175" i="61" s="1"/>
  <c r="J81" i="61"/>
  <c r="J176" i="61" s="1"/>
  <c r="I116" i="61"/>
  <c r="H20" i="1"/>
  <c r="H26" i="1"/>
  <c r="J28" i="3"/>
  <c r="K28" i="3" s="1"/>
  <c r="H25" i="1"/>
  <c r="I217" i="3"/>
  <c r="I256" i="3" s="1"/>
  <c r="H42" i="1" s="1"/>
  <c r="J212" i="3"/>
  <c r="I19" i="1"/>
  <c r="I57" i="3"/>
  <c r="I47" i="3" s="1"/>
  <c r="J55" i="3"/>
  <c r="I129" i="3"/>
  <c r="I138" i="3" s="1"/>
  <c r="J127" i="3"/>
  <c r="J26" i="3"/>
  <c r="J92" i="3"/>
  <c r="O42" i="35"/>
  <c r="O43" i="35" s="1"/>
  <c r="O39" i="35" s="1"/>
  <c r="P23" i="35"/>
  <c r="Q23" i="35" s="1"/>
  <c r="R23" i="35" s="1"/>
  <c r="N43" i="35"/>
  <c r="N39" i="35" s="1"/>
  <c r="H48" i="3"/>
  <c r="H47" i="3"/>
  <c r="I105" i="3"/>
  <c r="H105" i="3"/>
  <c r="H44" i="3"/>
  <c r="H45" i="3"/>
  <c r="G97" i="3"/>
  <c r="M39" i="35"/>
  <c r="H64" i="3"/>
  <c r="H61" i="3" s="1"/>
  <c r="H72" i="3" s="1"/>
  <c r="H77" i="3" s="1"/>
  <c r="H117" i="61"/>
  <c r="H177" i="61"/>
  <c r="F185" i="61"/>
  <c r="F198" i="61" s="1"/>
  <c r="F199" i="61" s="1"/>
  <c r="G118" i="61"/>
  <c r="G179" i="61" s="1"/>
  <c r="G183" i="61" s="1"/>
  <c r="G177" i="61"/>
  <c r="K32" i="85"/>
  <c r="K37" i="85" s="1"/>
  <c r="O31" i="35"/>
  <c r="O32" i="35"/>
  <c r="I29" i="3"/>
  <c r="I35" i="3"/>
  <c r="I116" i="3"/>
  <c r="I121" i="3" s="1"/>
  <c r="I108" i="3"/>
  <c r="I106" i="3"/>
  <c r="I32" i="3"/>
  <c r="I112" i="3" s="1"/>
  <c r="I97" i="3"/>
  <c r="I104" i="3"/>
  <c r="H164" i="3"/>
  <c r="H165" i="3" s="1"/>
  <c r="H251" i="3" s="1"/>
  <c r="I158" i="3"/>
  <c r="H200" i="3"/>
  <c r="H255" i="3" s="1"/>
  <c r="I196" i="3"/>
  <c r="H187" i="3"/>
  <c r="I182" i="3"/>
  <c r="H180" i="3"/>
  <c r="I177" i="3"/>
  <c r="H152" i="3"/>
  <c r="H153" i="3" s="1"/>
  <c r="H250" i="3" s="1"/>
  <c r="I146" i="3"/>
  <c r="H230" i="3"/>
  <c r="H257" i="3" s="1"/>
  <c r="I223" i="3"/>
  <c r="H116" i="3"/>
  <c r="G36" i="85"/>
  <c r="G49" i="3"/>
  <c r="R36" i="85"/>
  <c r="G27" i="1"/>
  <c r="G20" i="1"/>
  <c r="G46" i="3"/>
  <c r="P46" i="85"/>
  <c r="P49" i="85" s="1"/>
  <c r="F37" i="1"/>
  <c r="H108" i="3"/>
  <c r="H32" i="3"/>
  <c r="H112" i="3" s="1"/>
  <c r="H104" i="3"/>
  <c r="H106" i="3"/>
  <c r="H97" i="3"/>
  <c r="I36" i="85"/>
  <c r="I33" i="85"/>
  <c r="K4" i="35"/>
  <c r="O33" i="85"/>
  <c r="O36" i="85"/>
  <c r="V36" i="85"/>
  <c r="H234" i="3"/>
  <c r="G52" i="3"/>
  <c r="J36" i="85"/>
  <c r="J33" i="85"/>
  <c r="H189" i="3"/>
  <c r="G93" i="3"/>
  <c r="F36" i="1"/>
  <c r="L33" i="85"/>
  <c r="L36" i="85"/>
  <c r="G189" i="3"/>
  <c r="N32" i="35"/>
  <c r="N31" i="35"/>
  <c r="G234" i="3"/>
  <c r="G121" i="3"/>
  <c r="J508" i="60"/>
  <c r="I509" i="60"/>
  <c r="I455" i="60"/>
  <c r="J454" i="60"/>
  <c r="M109" i="42" l="1"/>
  <c r="M140" i="42" s="1"/>
  <c r="M141" i="42" s="1"/>
  <c r="M249" i="42" s="1"/>
  <c r="M252" i="42" s="1"/>
  <c r="M260" i="42" s="1"/>
  <c r="M273" i="42" s="1"/>
  <c r="M274" i="42" s="1"/>
  <c r="M109" i="40"/>
  <c r="M140" i="40" s="1"/>
  <c r="M141" i="40" s="1"/>
  <c r="M249" i="40" s="1"/>
  <c r="M252" i="40" s="1"/>
  <c r="M260" i="40" s="1"/>
  <c r="M273" i="40" s="1"/>
  <c r="M274" i="40" s="1"/>
  <c r="M141" i="74"/>
  <c r="M249" i="74" s="1"/>
  <c r="M252" i="74" s="1"/>
  <c r="M260" i="74" s="1"/>
  <c r="M273" i="74" s="1"/>
  <c r="M274" i="74" s="1"/>
  <c r="S13" i="35"/>
  <c r="R32" i="35"/>
  <c r="R31" i="35"/>
  <c r="Q40" i="35"/>
  <c r="R17" i="35"/>
  <c r="M141" i="38"/>
  <c r="M249" i="38" s="1"/>
  <c r="M252" i="38" s="1"/>
  <c r="M260" i="38" s="1"/>
  <c r="M273" i="38" s="1"/>
  <c r="M274" i="38" s="1"/>
  <c r="L141" i="38"/>
  <c r="L249" i="38" s="1"/>
  <c r="L252" i="38" s="1"/>
  <c r="L260" i="38" s="1"/>
  <c r="L273" i="38" s="1"/>
  <c r="L274" i="38" s="1"/>
  <c r="M141" i="47"/>
  <c r="M249" i="47" s="1"/>
  <c r="M252" i="47" s="1"/>
  <c r="M260" i="47" s="1"/>
  <c r="M273" i="47" s="1"/>
  <c r="M274" i="47" s="1"/>
  <c r="M109" i="36"/>
  <c r="M140" i="36" s="1"/>
  <c r="M141" i="36" s="1"/>
  <c r="M249" i="36" s="1"/>
  <c r="M252" i="36" s="1"/>
  <c r="M260" i="36" s="1"/>
  <c r="M273" i="36" s="1"/>
  <c r="M274" i="36" s="1"/>
  <c r="L141" i="37"/>
  <c r="L249" i="37" s="1"/>
  <c r="L252" i="37" s="1"/>
  <c r="L260" i="37" s="1"/>
  <c r="L273" i="37" s="1"/>
  <c r="L274" i="37" s="1"/>
  <c r="L49" i="1"/>
  <c r="L194" i="61"/>
  <c r="M109" i="50"/>
  <c r="M140" i="50" s="1"/>
  <c r="M141" i="50" s="1"/>
  <c r="M249" i="50" s="1"/>
  <c r="M252" i="50" s="1"/>
  <c r="M260" i="50" s="1"/>
  <c r="M273" i="50" s="1"/>
  <c r="M274" i="50" s="1"/>
  <c r="M109" i="69"/>
  <c r="M140" i="69" s="1"/>
  <c r="M141" i="69" s="1"/>
  <c r="M249" i="69" s="1"/>
  <c r="M252" i="69" s="1"/>
  <c r="M260" i="69" s="1"/>
  <c r="M273" i="69" s="1"/>
  <c r="M274" i="69" s="1"/>
  <c r="M109" i="45"/>
  <c r="M140" i="45" s="1"/>
  <c r="M141" i="45" s="1"/>
  <c r="M249" i="45" s="1"/>
  <c r="M252" i="45" s="1"/>
  <c r="M260" i="45" s="1"/>
  <c r="M273" i="45" s="1"/>
  <c r="M274" i="45" s="1"/>
  <c r="L141" i="76"/>
  <c r="L249" i="76" s="1"/>
  <c r="L252" i="76" s="1"/>
  <c r="L260" i="76" s="1"/>
  <c r="L273" i="76" s="1"/>
  <c r="L274" i="76" s="1"/>
  <c r="K40" i="61"/>
  <c r="K54" i="61" s="1"/>
  <c r="L34" i="61"/>
  <c r="L40" i="61" s="1"/>
  <c r="L54" i="61" s="1"/>
  <c r="M141" i="44"/>
  <c r="M249" i="44" s="1"/>
  <c r="M252" i="44" s="1"/>
  <c r="M260" i="44" s="1"/>
  <c r="M273" i="44" s="1"/>
  <c r="M274" i="44" s="1"/>
  <c r="L141" i="44"/>
  <c r="L249" i="44" s="1"/>
  <c r="L252" i="44" s="1"/>
  <c r="L260" i="44" s="1"/>
  <c r="L273" i="44" s="1"/>
  <c r="L274" i="44" s="1"/>
  <c r="H93" i="74"/>
  <c r="H93" i="72"/>
  <c r="H93" i="45"/>
  <c r="H93" i="37"/>
  <c r="H93" i="38"/>
  <c r="H93" i="44"/>
  <c r="H93" i="76"/>
  <c r="H93" i="36"/>
  <c r="H93" i="73"/>
  <c r="H93" i="69"/>
  <c r="H93" i="42"/>
  <c r="H93" i="70"/>
  <c r="H93" i="71"/>
  <c r="H93" i="75"/>
  <c r="H93" i="63"/>
  <c r="H93" i="46"/>
  <c r="H93" i="48"/>
  <c r="H93" i="41"/>
  <c r="H93" i="39"/>
  <c r="H93" i="47"/>
  <c r="H93" i="50"/>
  <c r="H93" i="49"/>
  <c r="H93" i="43"/>
  <c r="H93" i="40"/>
  <c r="K68" i="61"/>
  <c r="L66" i="61"/>
  <c r="L68" i="61" s="1"/>
  <c r="K80" i="61"/>
  <c r="L78" i="61"/>
  <c r="L80" i="61" s="1"/>
  <c r="L141" i="63"/>
  <c r="L249" i="63" s="1"/>
  <c r="L252" i="63" s="1"/>
  <c r="L260" i="63" s="1"/>
  <c r="L273" i="63" s="1"/>
  <c r="L274" i="63" s="1"/>
  <c r="L141" i="73"/>
  <c r="L249" i="73" s="1"/>
  <c r="L252" i="73" s="1"/>
  <c r="L260" i="73" s="1"/>
  <c r="L273" i="73" s="1"/>
  <c r="L274" i="73" s="1"/>
  <c r="M109" i="71"/>
  <c r="M140" i="71" s="1"/>
  <c r="M141" i="71" s="1"/>
  <c r="M249" i="71" s="1"/>
  <c r="M252" i="71" s="1"/>
  <c r="M260" i="71" s="1"/>
  <c r="M273" i="71" s="1"/>
  <c r="M274" i="71" s="1"/>
  <c r="M109" i="63"/>
  <c r="M140" i="63" s="1"/>
  <c r="M141" i="63" s="1"/>
  <c r="M249" i="63" s="1"/>
  <c r="M252" i="63" s="1"/>
  <c r="M260" i="63" s="1"/>
  <c r="M273" i="63" s="1"/>
  <c r="M274" i="63" s="1"/>
  <c r="S35" i="35"/>
  <c r="S36" i="35"/>
  <c r="M140" i="76"/>
  <c r="M141" i="76" s="1"/>
  <c r="M249" i="76" s="1"/>
  <c r="M252" i="76" s="1"/>
  <c r="M260" i="76" s="1"/>
  <c r="M273" i="76" s="1"/>
  <c r="M274" i="76" s="1"/>
  <c r="J93" i="71"/>
  <c r="J93" i="72"/>
  <c r="J93" i="41"/>
  <c r="J93" i="36"/>
  <c r="J93" i="43"/>
  <c r="J93" i="38"/>
  <c r="J93" i="50"/>
  <c r="J93" i="70"/>
  <c r="J93" i="44"/>
  <c r="J93" i="40"/>
  <c r="J93" i="73"/>
  <c r="J93" i="47"/>
  <c r="J93" i="42"/>
  <c r="J93" i="37"/>
  <c r="J93" i="76"/>
  <c r="J93" i="75"/>
  <c r="J93" i="74"/>
  <c r="J93" i="69"/>
  <c r="J93" i="63"/>
  <c r="J93" i="46"/>
  <c r="J93" i="45"/>
  <c r="J93" i="48"/>
  <c r="J93" i="49"/>
  <c r="J93" i="39"/>
  <c r="K115" i="61"/>
  <c r="K116" i="61" s="1"/>
  <c r="L101" i="61"/>
  <c r="L115" i="61" s="1"/>
  <c r="L116" i="61" s="1"/>
  <c r="M141" i="46"/>
  <c r="M249" i="46" s="1"/>
  <c r="M252" i="46" s="1"/>
  <c r="M260" i="46" s="1"/>
  <c r="M273" i="46" s="1"/>
  <c r="M274" i="46" s="1"/>
  <c r="L141" i="46"/>
  <c r="L249" i="46" s="1"/>
  <c r="L252" i="46" s="1"/>
  <c r="L260" i="46" s="1"/>
  <c r="L273" i="46" s="1"/>
  <c r="L274" i="46" s="1"/>
  <c r="K49" i="1"/>
  <c r="L141" i="41"/>
  <c r="L249" i="41" s="1"/>
  <c r="L252" i="41" s="1"/>
  <c r="L260" i="41" s="1"/>
  <c r="L273" i="41" s="1"/>
  <c r="L274" i="41" s="1"/>
  <c r="M109" i="49"/>
  <c r="M140" i="49" s="1"/>
  <c r="M141" i="49" s="1"/>
  <c r="M249" i="49" s="1"/>
  <c r="M252" i="49" s="1"/>
  <c r="M260" i="49" s="1"/>
  <c r="M273" i="49" s="1"/>
  <c r="M274" i="49" s="1"/>
  <c r="I93" i="44"/>
  <c r="I93" i="71"/>
  <c r="I93" i="73"/>
  <c r="I93" i="72"/>
  <c r="I93" i="70"/>
  <c r="I93" i="40"/>
  <c r="I93" i="50"/>
  <c r="I93" i="42"/>
  <c r="I93" i="41"/>
  <c r="I93" i="37"/>
  <c r="I93" i="36"/>
  <c r="I93" i="43"/>
  <c r="I93" i="38"/>
  <c r="I93" i="76"/>
  <c r="I93" i="74"/>
  <c r="I93" i="63"/>
  <c r="I93" i="47"/>
  <c r="I93" i="75"/>
  <c r="I93" i="45"/>
  <c r="I93" i="46"/>
  <c r="I93" i="39"/>
  <c r="I93" i="69"/>
  <c r="I93" i="48"/>
  <c r="I93" i="49"/>
  <c r="K69" i="61"/>
  <c r="K175" i="61" s="1"/>
  <c r="L141" i="69"/>
  <c r="L249" i="69" s="1"/>
  <c r="L252" i="69" s="1"/>
  <c r="L260" i="69" s="1"/>
  <c r="L273" i="69" s="1"/>
  <c r="L274" i="69" s="1"/>
  <c r="M109" i="41"/>
  <c r="M140" i="41" s="1"/>
  <c r="M141" i="41" s="1"/>
  <c r="M249" i="41" s="1"/>
  <c r="M252" i="41" s="1"/>
  <c r="M260" i="41" s="1"/>
  <c r="M273" i="41" s="1"/>
  <c r="M274" i="41" s="1"/>
  <c r="L141" i="50"/>
  <c r="L249" i="50" s="1"/>
  <c r="L252" i="50" s="1"/>
  <c r="L260" i="50" s="1"/>
  <c r="L273" i="50" s="1"/>
  <c r="L274" i="50" s="1"/>
  <c r="M141" i="39"/>
  <c r="M249" i="39" s="1"/>
  <c r="M252" i="39" s="1"/>
  <c r="M260" i="39" s="1"/>
  <c r="M273" i="39" s="1"/>
  <c r="M274" i="39" s="1"/>
  <c r="L141" i="39"/>
  <c r="L249" i="39" s="1"/>
  <c r="L252" i="39" s="1"/>
  <c r="L260" i="39" s="1"/>
  <c r="L273" i="39" s="1"/>
  <c r="L274" i="39" s="1"/>
  <c r="M109" i="37"/>
  <c r="M140" i="37" s="1"/>
  <c r="M141" i="37" s="1"/>
  <c r="M249" i="37" s="1"/>
  <c r="M252" i="37" s="1"/>
  <c r="M260" i="37" s="1"/>
  <c r="M273" i="37" s="1"/>
  <c r="M274" i="37" s="1"/>
  <c r="M109" i="72"/>
  <c r="M140" i="72" s="1"/>
  <c r="M141" i="72" s="1"/>
  <c r="M249" i="72" s="1"/>
  <c r="M252" i="72" s="1"/>
  <c r="M260" i="72" s="1"/>
  <c r="M273" i="72" s="1"/>
  <c r="M274" i="72" s="1"/>
  <c r="M109" i="48"/>
  <c r="M140" i="48" s="1"/>
  <c r="M141" i="48" s="1"/>
  <c r="M249" i="48" s="1"/>
  <c r="M252" i="48" s="1"/>
  <c r="M260" i="48" s="1"/>
  <c r="M273" i="48" s="1"/>
  <c r="M274" i="48" s="1"/>
  <c r="M109" i="75"/>
  <c r="M140" i="75" s="1"/>
  <c r="M141" i="75" s="1"/>
  <c r="M249" i="75" s="1"/>
  <c r="M252" i="75" s="1"/>
  <c r="M260" i="75" s="1"/>
  <c r="M273" i="75" s="1"/>
  <c r="M274" i="75" s="1"/>
  <c r="M109" i="73"/>
  <c r="M140" i="73" s="1"/>
  <c r="M141" i="73" s="1"/>
  <c r="M249" i="73" s="1"/>
  <c r="M252" i="73" s="1"/>
  <c r="M260" i="73" s="1"/>
  <c r="M273" i="73" s="1"/>
  <c r="M274" i="73" s="1"/>
  <c r="L141" i="40"/>
  <c r="L249" i="40" s="1"/>
  <c r="L252" i="40" s="1"/>
  <c r="L260" i="40" s="1"/>
  <c r="L273" i="40" s="1"/>
  <c r="L274" i="40" s="1"/>
  <c r="H51" i="1"/>
  <c r="S23" i="35"/>
  <c r="S9" i="35" s="1"/>
  <c r="R9" i="35"/>
  <c r="R19" i="35"/>
  <c r="S22" i="35"/>
  <c r="R8" i="35"/>
  <c r="R42" i="35"/>
  <c r="H121" i="3"/>
  <c r="P116" i="3"/>
  <c r="Q116" i="3" s="1"/>
  <c r="J116" i="61"/>
  <c r="K81" i="61"/>
  <c r="K176" i="61" s="1"/>
  <c r="J20" i="61"/>
  <c r="J56" i="61" s="1"/>
  <c r="J57" i="61" s="1"/>
  <c r="J174" i="61" s="1"/>
  <c r="J177" i="61" s="1"/>
  <c r="K19" i="61"/>
  <c r="J98" i="61"/>
  <c r="J117" i="61" s="1"/>
  <c r="J118" i="61" s="1"/>
  <c r="J179" i="61" s="1"/>
  <c r="J183" i="61" s="1"/>
  <c r="K94" i="61"/>
  <c r="F41" i="1"/>
  <c r="G37" i="1"/>
  <c r="G43" i="1"/>
  <c r="G81" i="1" s="1"/>
  <c r="J25" i="1"/>
  <c r="G36" i="1"/>
  <c r="I49" i="1"/>
  <c r="I50" i="1"/>
  <c r="L267" i="3"/>
  <c r="J26" i="1"/>
  <c r="L28" i="3"/>
  <c r="L36" i="3"/>
  <c r="K136" i="3"/>
  <c r="L131" i="3"/>
  <c r="J18" i="1"/>
  <c r="J20" i="1" s="1"/>
  <c r="L24" i="3"/>
  <c r="G79" i="1"/>
  <c r="I44" i="3"/>
  <c r="K269" i="3"/>
  <c r="U42" i="85"/>
  <c r="U44" i="85" s="1"/>
  <c r="U62" i="85" s="1"/>
  <c r="U71" i="85" s="1"/>
  <c r="U72" i="85" s="1"/>
  <c r="M46" i="85"/>
  <c r="M49" i="85" s="1"/>
  <c r="M62" i="85" s="1"/>
  <c r="M71" i="85" s="1"/>
  <c r="M72" i="85" s="1"/>
  <c r="I20" i="1"/>
  <c r="V22" i="85"/>
  <c r="I100" i="3"/>
  <c r="I45" i="3"/>
  <c r="I48" i="3"/>
  <c r="I52" i="3" s="1"/>
  <c r="I64" i="3"/>
  <c r="I61" i="3" s="1"/>
  <c r="O22" i="85"/>
  <c r="I72" i="3"/>
  <c r="I77" i="3" s="1"/>
  <c r="J22" i="85"/>
  <c r="K42" i="85"/>
  <c r="K44" i="85" s="1"/>
  <c r="H49" i="3"/>
  <c r="K35" i="3"/>
  <c r="K29" i="3"/>
  <c r="J217" i="3"/>
  <c r="J256" i="3" s="1"/>
  <c r="I42" i="1" s="1"/>
  <c r="K212" i="3"/>
  <c r="J129" i="3"/>
  <c r="J138" i="3" s="1"/>
  <c r="K127" i="3"/>
  <c r="J57" i="3"/>
  <c r="J64" i="3" s="1"/>
  <c r="J61" i="3" s="1"/>
  <c r="K55" i="3"/>
  <c r="K92" i="3"/>
  <c r="K26" i="3"/>
  <c r="N62" i="85"/>
  <c r="N71" i="85" s="1"/>
  <c r="N72" i="85" s="1"/>
  <c r="S62" i="85"/>
  <c r="S71" i="85" s="1"/>
  <c r="S72" i="85" s="1"/>
  <c r="Q42" i="85"/>
  <c r="Q44" i="85" s="1"/>
  <c r="Q32" i="35"/>
  <c r="Q31" i="35"/>
  <c r="Q42" i="35"/>
  <c r="Q9" i="35"/>
  <c r="Q19" i="35"/>
  <c r="Q8" i="35"/>
  <c r="J93" i="3"/>
  <c r="R22" i="85"/>
  <c r="I22" i="85"/>
  <c r="L22" i="85"/>
  <c r="P42" i="35"/>
  <c r="P43" i="35" s="1"/>
  <c r="P27" i="35" s="1"/>
  <c r="J96" i="3" s="1"/>
  <c r="P9" i="35"/>
  <c r="P42" i="85"/>
  <c r="P44" i="85" s="1"/>
  <c r="P62" i="85" s="1"/>
  <c r="P71" i="85" s="1"/>
  <c r="P72" i="85" s="1"/>
  <c r="H62" i="85"/>
  <c r="H71" i="85" s="1"/>
  <c r="H72" i="85" s="1"/>
  <c r="N27" i="35"/>
  <c r="O27" i="35"/>
  <c r="Q32" i="85"/>
  <c r="Q37" i="85" s="1"/>
  <c r="G32" i="85"/>
  <c r="G22" i="85"/>
  <c r="I118" i="61"/>
  <c r="I179" i="61" s="1"/>
  <c r="I183" i="61" s="1"/>
  <c r="H118" i="61"/>
  <c r="H179" i="61" s="1"/>
  <c r="H52" i="3"/>
  <c r="I200" i="3"/>
  <c r="I255" i="3" s="1"/>
  <c r="J196" i="3"/>
  <c r="I152" i="3"/>
  <c r="I153" i="3" s="1"/>
  <c r="I250" i="3" s="1"/>
  <c r="J146" i="3"/>
  <c r="J35" i="3"/>
  <c r="I26" i="1"/>
  <c r="J29" i="3"/>
  <c r="I164" i="3"/>
  <c r="I165" i="3" s="1"/>
  <c r="I251" i="3" s="1"/>
  <c r="J158" i="3"/>
  <c r="I25" i="1"/>
  <c r="I230" i="3"/>
  <c r="I257" i="3" s="1"/>
  <c r="J223" i="3"/>
  <c r="I180" i="3"/>
  <c r="J177" i="3"/>
  <c r="I187" i="3"/>
  <c r="J182" i="3"/>
  <c r="J72" i="3"/>
  <c r="J77" i="3" s="1"/>
  <c r="H46" i="3"/>
  <c r="J106" i="3"/>
  <c r="J108" i="3"/>
  <c r="J32" i="3"/>
  <c r="J112" i="3" s="1"/>
  <c r="J105" i="3"/>
  <c r="J104" i="3"/>
  <c r="J97" i="3"/>
  <c r="J116" i="3"/>
  <c r="J121" i="3" s="1"/>
  <c r="H27" i="1"/>
  <c r="G185" i="61"/>
  <c r="G198" i="61" s="1"/>
  <c r="G199" i="61" s="1"/>
  <c r="I177" i="61"/>
  <c r="I93" i="3"/>
  <c r="G99" i="3"/>
  <c r="G98" i="3" s="1"/>
  <c r="L46" i="85"/>
  <c r="L49" i="85" s="1"/>
  <c r="G53" i="3"/>
  <c r="G50" i="3" s="1"/>
  <c r="G31" i="3" s="1"/>
  <c r="G30" i="3" s="1"/>
  <c r="G69" i="3" s="1"/>
  <c r="G111" i="3" s="1"/>
  <c r="H190" i="3"/>
  <c r="H254" i="3" s="1"/>
  <c r="L4" i="35"/>
  <c r="H93" i="3"/>
  <c r="G258" i="3"/>
  <c r="I510" i="60"/>
  <c r="J509" i="60"/>
  <c r="J455" i="60"/>
  <c r="I456" i="60"/>
  <c r="M36" i="3" l="1"/>
  <c r="L269" i="3"/>
  <c r="M267" i="3"/>
  <c r="K50" i="1"/>
  <c r="L93" i="41"/>
  <c r="L93" i="71"/>
  <c r="L93" i="38"/>
  <c r="L93" i="50"/>
  <c r="L93" i="72"/>
  <c r="L93" i="43"/>
  <c r="L93" i="36"/>
  <c r="L93" i="47"/>
  <c r="L93" i="40"/>
  <c r="L93" i="73"/>
  <c r="L93" i="70"/>
  <c r="L93" i="42"/>
  <c r="L93" i="44"/>
  <c r="L93" i="37"/>
  <c r="L93" i="76"/>
  <c r="L93" i="74"/>
  <c r="L93" i="75"/>
  <c r="L93" i="69"/>
  <c r="L93" i="63"/>
  <c r="L93" i="45"/>
  <c r="L93" i="48"/>
  <c r="L93" i="39"/>
  <c r="L93" i="46"/>
  <c r="L93" i="49"/>
  <c r="L93" i="3"/>
  <c r="K93" i="71"/>
  <c r="K93" i="41"/>
  <c r="K93" i="50"/>
  <c r="K93" i="43"/>
  <c r="K93" i="38"/>
  <c r="K93" i="72"/>
  <c r="K93" i="36"/>
  <c r="K93" i="44"/>
  <c r="K93" i="73"/>
  <c r="K93" i="47"/>
  <c r="K93" i="42"/>
  <c r="K93" i="70"/>
  <c r="K93" i="40"/>
  <c r="K93" i="37"/>
  <c r="K93" i="75"/>
  <c r="K93" i="46"/>
  <c r="K93" i="48"/>
  <c r="K93" i="76"/>
  <c r="K93" i="63"/>
  <c r="K93" i="45"/>
  <c r="K93" i="39"/>
  <c r="K93" i="74"/>
  <c r="K93" i="69"/>
  <c r="K93" i="49"/>
  <c r="K51" i="1"/>
  <c r="L81" i="61"/>
  <c r="L176" i="61" s="1"/>
  <c r="J48" i="3"/>
  <c r="H185" i="61"/>
  <c r="H198" i="61" s="1"/>
  <c r="H199" i="61" s="1"/>
  <c r="H183" i="61"/>
  <c r="L136" i="3"/>
  <c r="M131" i="3"/>
  <c r="M136" i="3" s="1"/>
  <c r="K20" i="61"/>
  <c r="K56" i="61" s="1"/>
  <c r="L19" i="61"/>
  <c r="L20" i="61" s="1"/>
  <c r="L56" i="61" s="1"/>
  <c r="L57" i="61" s="1"/>
  <c r="L174" i="61" s="1"/>
  <c r="L69" i="61"/>
  <c r="L175" i="61" s="1"/>
  <c r="S17" i="35"/>
  <c r="S40" i="35" s="1"/>
  <c r="R40" i="35"/>
  <c r="S32" i="35"/>
  <c r="S31" i="35"/>
  <c r="K98" i="61"/>
  <c r="K117" i="61" s="1"/>
  <c r="K118" i="61" s="1"/>
  <c r="K179" i="61" s="1"/>
  <c r="L94" i="61"/>
  <c r="L98" i="61" s="1"/>
  <c r="L117" i="61" s="1"/>
  <c r="L118" i="61" s="1"/>
  <c r="L179" i="61" s="1"/>
  <c r="J47" i="3"/>
  <c r="J49" i="3" s="1"/>
  <c r="M28" i="3"/>
  <c r="L26" i="1" s="1"/>
  <c r="K26" i="1"/>
  <c r="M24" i="3"/>
  <c r="L18" i="1" s="1"/>
  <c r="L20" i="1" s="1"/>
  <c r="K18" i="1"/>
  <c r="K20" i="1" s="1"/>
  <c r="R43" i="35"/>
  <c r="R39" i="35" s="1"/>
  <c r="S19" i="35"/>
  <c r="S8" i="35"/>
  <c r="S42" i="35"/>
  <c r="I51" i="1"/>
  <c r="K57" i="61"/>
  <c r="K174" i="61" s="1"/>
  <c r="K177" i="61" s="1"/>
  <c r="G41" i="1"/>
  <c r="G113" i="1"/>
  <c r="J49" i="1"/>
  <c r="J27" i="1"/>
  <c r="F40" i="1"/>
  <c r="F44" i="1" s="1"/>
  <c r="H37" i="1"/>
  <c r="H36" i="1"/>
  <c r="J50" i="1"/>
  <c r="I234" i="3"/>
  <c r="I46" i="3"/>
  <c r="I71" i="3" s="1"/>
  <c r="I70" i="3" s="1"/>
  <c r="J100" i="3"/>
  <c r="J44" i="3"/>
  <c r="J46" i="3" s="1"/>
  <c r="K57" i="3"/>
  <c r="K48" i="3" s="1"/>
  <c r="L55" i="3"/>
  <c r="L26" i="3"/>
  <c r="L92" i="3"/>
  <c r="K217" i="3"/>
  <c r="K256" i="3" s="1"/>
  <c r="J42" i="1" s="1"/>
  <c r="L212" i="3"/>
  <c r="J45" i="3"/>
  <c r="K129" i="3"/>
  <c r="K138" i="3" s="1"/>
  <c r="L127" i="3"/>
  <c r="L29" i="3"/>
  <c r="K27" i="1" s="1"/>
  <c r="L35" i="3"/>
  <c r="H258" i="3"/>
  <c r="G40" i="1"/>
  <c r="I49" i="3"/>
  <c r="I53" i="3" s="1"/>
  <c r="I50" i="3" s="1"/>
  <c r="I31" i="3" s="1"/>
  <c r="I30" i="3" s="1"/>
  <c r="I94" i="3" s="1"/>
  <c r="O46" i="85"/>
  <c r="O49" i="85" s="1"/>
  <c r="K46" i="85"/>
  <c r="K49" i="85" s="1"/>
  <c r="K62" i="85" s="1"/>
  <c r="K71" i="85" s="1"/>
  <c r="K72" i="85" s="1"/>
  <c r="J32" i="85"/>
  <c r="J37" i="85" s="1"/>
  <c r="J42" i="85"/>
  <c r="J44" i="85" s="1"/>
  <c r="J46" i="85"/>
  <c r="J49" i="85" s="1"/>
  <c r="G96" i="3"/>
  <c r="Q62" i="85"/>
  <c r="Q71" i="85" s="1"/>
  <c r="Q72" i="85" s="1"/>
  <c r="K93" i="3"/>
  <c r="I96" i="3"/>
  <c r="H96" i="3"/>
  <c r="G82" i="1"/>
  <c r="H79" i="1" s="1"/>
  <c r="J230" i="3"/>
  <c r="J257" i="3" s="1"/>
  <c r="K223" i="3"/>
  <c r="K44" i="3"/>
  <c r="K72" i="3"/>
  <c r="K77" i="3" s="1"/>
  <c r="J164" i="3"/>
  <c r="K158" i="3"/>
  <c r="J152" i="3"/>
  <c r="J153" i="3" s="1"/>
  <c r="J250" i="3" s="1"/>
  <c r="K146" i="3"/>
  <c r="J200" i="3"/>
  <c r="K196" i="3"/>
  <c r="K106" i="3"/>
  <c r="K108" i="3"/>
  <c r="K97" i="3"/>
  <c r="K116" i="3"/>
  <c r="K121" i="3" s="1"/>
  <c r="K104" i="3"/>
  <c r="K32" i="3"/>
  <c r="K112" i="3" s="1"/>
  <c r="K105" i="3"/>
  <c r="J187" i="3"/>
  <c r="K182" i="3"/>
  <c r="J180" i="3"/>
  <c r="K177" i="3"/>
  <c r="L42" i="85"/>
  <c r="L44" i="85" s="1"/>
  <c r="Q43" i="35"/>
  <c r="Q39" i="35" s="1"/>
  <c r="P39" i="35"/>
  <c r="V42" i="85"/>
  <c r="V44" i="85" s="1"/>
  <c r="R42" i="85"/>
  <c r="R44" i="85" s="1"/>
  <c r="I42" i="85"/>
  <c r="I44" i="85" s="1"/>
  <c r="O42" i="85"/>
  <c r="O44" i="85" s="1"/>
  <c r="V32" i="85"/>
  <c r="V37" i="85" s="1"/>
  <c r="R32" i="85"/>
  <c r="R37" i="85" s="1"/>
  <c r="O32" i="85"/>
  <c r="O37" i="85" s="1"/>
  <c r="I32" i="85"/>
  <c r="I37" i="85" s="1"/>
  <c r="L32" i="85"/>
  <c r="L37" i="85" s="1"/>
  <c r="H53" i="3"/>
  <c r="H50" i="3" s="1"/>
  <c r="H31" i="3" s="1"/>
  <c r="H30" i="3" s="1"/>
  <c r="H107" i="3" s="1"/>
  <c r="H109" i="3" s="1"/>
  <c r="H99" i="3"/>
  <c r="H98" i="3" s="1"/>
  <c r="G42" i="85"/>
  <c r="G44" i="85" s="1"/>
  <c r="J185" i="61"/>
  <c r="J198" i="61" s="1"/>
  <c r="J199" i="61" s="1"/>
  <c r="I185" i="61"/>
  <c r="I198" i="61" s="1"/>
  <c r="I199" i="61" s="1"/>
  <c r="J255" i="3"/>
  <c r="J52" i="3"/>
  <c r="H43" i="1"/>
  <c r="I27" i="1"/>
  <c r="I189" i="3"/>
  <c r="I190" i="3" s="1"/>
  <c r="I254" i="3" s="1"/>
  <c r="J165" i="3"/>
  <c r="J251" i="3" s="1"/>
  <c r="G71" i="3"/>
  <c r="G76" i="3" s="1"/>
  <c r="G75" i="3" s="1"/>
  <c r="G114" i="3"/>
  <c r="H71" i="3"/>
  <c r="H70" i="3" s="1"/>
  <c r="G94" i="3"/>
  <c r="G107" i="3"/>
  <c r="G109" i="3" s="1"/>
  <c r="F28" i="1"/>
  <c r="M4" i="35"/>
  <c r="G74" i="3"/>
  <c r="J510" i="60"/>
  <c r="I511" i="60"/>
  <c r="I457" i="60"/>
  <c r="J456" i="60"/>
  <c r="K45" i="3" l="1"/>
  <c r="K100" i="3"/>
  <c r="L183" i="61"/>
  <c r="L50" i="1"/>
  <c r="L51" i="1" s="1"/>
  <c r="M269" i="3"/>
  <c r="G9" i="76"/>
  <c r="G9" i="75"/>
  <c r="G9" i="74"/>
  <c r="G9" i="73"/>
  <c r="G9" i="71"/>
  <c r="G9" i="70"/>
  <c r="G9" i="63"/>
  <c r="G9" i="69"/>
  <c r="G9" i="45"/>
  <c r="G9" i="47"/>
  <c r="G9" i="48"/>
  <c r="G9" i="72"/>
  <c r="G9" i="49"/>
  <c r="G9" i="42"/>
  <c r="G9" i="43"/>
  <c r="G9" i="50"/>
  <c r="G9" i="44"/>
  <c r="G9" i="41"/>
  <c r="G9" i="40"/>
  <c r="G9" i="37"/>
  <c r="G9" i="39"/>
  <c r="G9" i="36"/>
  <c r="G9" i="38"/>
  <c r="G9" i="46"/>
  <c r="K47" i="3"/>
  <c r="K52" i="3" s="1"/>
  <c r="K183" i="61"/>
  <c r="K185" i="61" s="1"/>
  <c r="K198" i="61" s="1"/>
  <c r="K199" i="61" s="1"/>
  <c r="K64" i="3"/>
  <c r="K61" i="3" s="1"/>
  <c r="L217" i="3"/>
  <c r="L256" i="3" s="1"/>
  <c r="K42" i="1" s="1"/>
  <c r="M212" i="3"/>
  <c r="M217" i="3" s="1"/>
  <c r="M256" i="3" s="1"/>
  <c r="L42" i="1" s="1"/>
  <c r="L57" i="3"/>
  <c r="M55" i="3"/>
  <c r="M57" i="3" s="1"/>
  <c r="M93" i="41"/>
  <c r="M93" i="38"/>
  <c r="M93" i="71"/>
  <c r="M93" i="43"/>
  <c r="M93" i="72"/>
  <c r="M93" i="36"/>
  <c r="M93" i="50"/>
  <c r="M93" i="42"/>
  <c r="M93" i="47"/>
  <c r="M93" i="73"/>
  <c r="M93" i="37"/>
  <c r="M93" i="70"/>
  <c r="M93" i="40"/>
  <c r="M93" i="44"/>
  <c r="M93" i="75"/>
  <c r="M93" i="46"/>
  <c r="M93" i="39"/>
  <c r="M93" i="48"/>
  <c r="M93" i="49"/>
  <c r="M93" i="74"/>
  <c r="M93" i="69"/>
  <c r="M93" i="45"/>
  <c r="M93" i="63"/>
  <c r="M93" i="76"/>
  <c r="M93" i="3"/>
  <c r="L129" i="3"/>
  <c r="L138" i="3" s="1"/>
  <c r="M127" i="3"/>
  <c r="M129" i="3" s="1"/>
  <c r="M138" i="3" s="1"/>
  <c r="L177" i="61"/>
  <c r="I99" i="3"/>
  <c r="I98" i="3" s="1"/>
  <c r="M35" i="3"/>
  <c r="M29" i="3"/>
  <c r="L27" i="1" s="1"/>
  <c r="P109" i="3"/>
  <c r="Q109" i="3" s="1"/>
  <c r="M26" i="3"/>
  <c r="M92" i="3"/>
  <c r="R27" i="35"/>
  <c r="S43" i="35"/>
  <c r="S27" i="35" s="1"/>
  <c r="M96" i="3" s="1"/>
  <c r="S39" i="35"/>
  <c r="G44" i="1"/>
  <c r="J234" i="3"/>
  <c r="J51" i="1"/>
  <c r="H113" i="1"/>
  <c r="H81" i="1"/>
  <c r="H82" i="1" s="1"/>
  <c r="I79" i="1" s="1"/>
  <c r="I36" i="1"/>
  <c r="H41" i="1"/>
  <c r="I37" i="1"/>
  <c r="I43" i="1"/>
  <c r="I113" i="1" s="1"/>
  <c r="K187" i="3"/>
  <c r="L182" i="3"/>
  <c r="K164" i="3"/>
  <c r="K165" i="3" s="1"/>
  <c r="K251" i="3" s="1"/>
  <c r="L158" i="3"/>
  <c r="L47" i="3"/>
  <c r="L45" i="3"/>
  <c r="L44" i="3"/>
  <c r="L100" i="3"/>
  <c r="L48" i="3"/>
  <c r="L72" i="3"/>
  <c r="L77" i="3" s="1"/>
  <c r="L64" i="3"/>
  <c r="L61" i="3" s="1"/>
  <c r="K230" i="3"/>
  <c r="K257" i="3" s="1"/>
  <c r="L223" i="3"/>
  <c r="K180" i="3"/>
  <c r="L177" i="3"/>
  <c r="K200" i="3"/>
  <c r="K255" i="3" s="1"/>
  <c r="L196" i="3"/>
  <c r="K152" i="3"/>
  <c r="L146" i="3"/>
  <c r="L32" i="3"/>
  <c r="L112" i="3" s="1"/>
  <c r="L108" i="3"/>
  <c r="L104" i="3"/>
  <c r="L97" i="3"/>
  <c r="L116" i="3"/>
  <c r="L121" i="3" s="1"/>
  <c r="L106" i="3"/>
  <c r="L95" i="3"/>
  <c r="L105" i="3"/>
  <c r="L96" i="3"/>
  <c r="I258" i="3"/>
  <c r="H40" i="1"/>
  <c r="Q27" i="35"/>
  <c r="K96" i="3" s="1"/>
  <c r="I46" i="85"/>
  <c r="I49" i="85" s="1"/>
  <c r="I62" i="85" s="1"/>
  <c r="I71" i="85" s="1"/>
  <c r="I72" i="85" s="1"/>
  <c r="K153" i="3"/>
  <c r="K250" i="3" s="1"/>
  <c r="K46" i="3"/>
  <c r="J189" i="3"/>
  <c r="J190" i="3" s="1"/>
  <c r="J254" i="3" s="1"/>
  <c r="L62" i="85"/>
  <c r="L71" i="85" s="1"/>
  <c r="L72" i="85" s="1"/>
  <c r="G28" i="1"/>
  <c r="H94" i="3"/>
  <c r="H69" i="3"/>
  <c r="H114" i="3" s="1"/>
  <c r="O62" i="85"/>
  <c r="O71" i="85" s="1"/>
  <c r="O72" i="85" s="1"/>
  <c r="V62" i="85"/>
  <c r="V71" i="85" s="1"/>
  <c r="V72" i="85" s="1"/>
  <c r="J62" i="85"/>
  <c r="J71" i="85" s="1"/>
  <c r="J72" i="85" s="1"/>
  <c r="R62" i="85"/>
  <c r="R71" i="85" s="1"/>
  <c r="R72" i="85" s="1"/>
  <c r="G46" i="85"/>
  <c r="G49" i="85" s="1"/>
  <c r="G33" i="85"/>
  <c r="G37" i="85" s="1"/>
  <c r="I107" i="3"/>
  <c r="I109" i="3" s="1"/>
  <c r="I69" i="3"/>
  <c r="J98" i="3"/>
  <c r="J71" i="3"/>
  <c r="J99" i="3"/>
  <c r="J53" i="3"/>
  <c r="J50" i="3" s="1"/>
  <c r="J31" i="3" s="1"/>
  <c r="J30" i="3" s="1"/>
  <c r="G62" i="1"/>
  <c r="I76" i="3"/>
  <c r="I75" i="3" s="1"/>
  <c r="I79" i="3"/>
  <c r="I95" i="3" s="1"/>
  <c r="I102" i="3" s="1"/>
  <c r="G70" i="3"/>
  <c r="G79" i="3"/>
  <c r="G95" i="3" s="1"/>
  <c r="G102" i="3" s="1"/>
  <c r="H76" i="3"/>
  <c r="H75" i="3" s="1"/>
  <c r="H79" i="3"/>
  <c r="H95" i="3" s="1"/>
  <c r="H28" i="1"/>
  <c r="N4" i="35"/>
  <c r="G9" i="3"/>
  <c r="I512" i="60"/>
  <c r="J511" i="60"/>
  <c r="J457" i="60"/>
  <c r="I458" i="60"/>
  <c r="K49" i="3" l="1"/>
  <c r="L187" i="3"/>
  <c r="M182" i="3"/>
  <c r="M187" i="3" s="1"/>
  <c r="M72" i="3"/>
  <c r="M77" i="3" s="1"/>
  <c r="M48" i="3"/>
  <c r="M100" i="3"/>
  <c r="M44" i="3"/>
  <c r="M45" i="3"/>
  <c r="M47" i="3"/>
  <c r="M64" i="3"/>
  <c r="M61" i="3" s="1"/>
  <c r="G10" i="46"/>
  <c r="G243" i="46"/>
  <c r="G67" i="46"/>
  <c r="G171" i="46"/>
  <c r="G10" i="37"/>
  <c r="G171" i="37"/>
  <c r="G243" i="37"/>
  <c r="G67" i="37"/>
  <c r="G171" i="50"/>
  <c r="G243" i="50"/>
  <c r="G67" i="50"/>
  <c r="G10" i="50"/>
  <c r="G10" i="72"/>
  <c r="G171" i="72"/>
  <c r="G243" i="72"/>
  <c r="G67" i="72"/>
  <c r="G10" i="69"/>
  <c r="G171" i="69"/>
  <c r="G67" i="69"/>
  <c r="G243" i="69"/>
  <c r="G67" i="73"/>
  <c r="G10" i="73"/>
  <c r="G171" i="73"/>
  <c r="G243" i="73"/>
  <c r="L164" i="3"/>
  <c r="L165" i="3" s="1"/>
  <c r="L251" i="3" s="1"/>
  <c r="K37" i="1" s="1"/>
  <c r="M158" i="3"/>
  <c r="M164" i="3" s="1"/>
  <c r="M165" i="3" s="1"/>
  <c r="M251" i="3" s="1"/>
  <c r="L37" i="1" s="1"/>
  <c r="L152" i="3"/>
  <c r="M146" i="3"/>
  <c r="M152" i="3" s="1"/>
  <c r="M153" i="3" s="1"/>
  <c r="M250" i="3" s="1"/>
  <c r="L36" i="1" s="1"/>
  <c r="L180" i="3"/>
  <c r="M177" i="3"/>
  <c r="M180" i="3" s="1"/>
  <c r="M189" i="3" s="1"/>
  <c r="M190" i="3" s="1"/>
  <c r="M254" i="3" s="1"/>
  <c r="G67" i="39"/>
  <c r="G171" i="39"/>
  <c r="G243" i="39"/>
  <c r="G10" i="39"/>
  <c r="G10" i="44"/>
  <c r="G171" i="44"/>
  <c r="G67" i="44"/>
  <c r="G243" i="44"/>
  <c r="G243" i="49"/>
  <c r="G10" i="49"/>
  <c r="G67" i="49"/>
  <c r="G171" i="49"/>
  <c r="G171" i="45"/>
  <c r="G67" i="45"/>
  <c r="G10" i="45"/>
  <c r="G243" i="45"/>
  <c r="G67" i="71"/>
  <c r="G171" i="71"/>
  <c r="G243" i="71"/>
  <c r="G10" i="71"/>
  <c r="G10" i="76"/>
  <c r="G171" i="76"/>
  <c r="G243" i="76"/>
  <c r="G67" i="76"/>
  <c r="L200" i="3"/>
  <c r="L255" i="3" s="1"/>
  <c r="K41" i="1" s="1"/>
  <c r="M196" i="3"/>
  <c r="M200" i="3" s="1"/>
  <c r="L230" i="3"/>
  <c r="M223" i="3"/>
  <c r="M230" i="3" s="1"/>
  <c r="M257" i="3" s="1"/>
  <c r="L43" i="1" s="1"/>
  <c r="L185" i="61"/>
  <c r="L198" i="61" s="1"/>
  <c r="L199" i="61" s="1"/>
  <c r="G10" i="38"/>
  <c r="G67" i="38"/>
  <c r="G171" i="38"/>
  <c r="G243" i="38"/>
  <c r="G67" i="40"/>
  <c r="G243" i="40"/>
  <c r="G10" i="40"/>
  <c r="G171" i="40"/>
  <c r="G10" i="43"/>
  <c r="G67" i="43"/>
  <c r="G171" i="43"/>
  <c r="G243" i="43"/>
  <c r="G67" i="48"/>
  <c r="G10" i="48"/>
  <c r="G171" i="48"/>
  <c r="G243" i="48"/>
  <c r="G10" i="63"/>
  <c r="G171" i="63"/>
  <c r="G67" i="63"/>
  <c r="G243" i="63"/>
  <c r="G67" i="74"/>
  <c r="G171" i="74"/>
  <c r="G243" i="74"/>
  <c r="G10" i="74"/>
  <c r="O4" i="35"/>
  <c r="H9" i="75"/>
  <c r="H9" i="72"/>
  <c r="H9" i="76"/>
  <c r="H9" i="73"/>
  <c r="H9" i="71"/>
  <c r="H9" i="70"/>
  <c r="H9" i="63"/>
  <c r="H9" i="74"/>
  <c r="H9" i="69"/>
  <c r="H9" i="45"/>
  <c r="H9" i="47"/>
  <c r="H9" i="48"/>
  <c r="H9" i="49"/>
  <c r="H9" i="46"/>
  <c r="H9" i="43"/>
  <c r="H9" i="50"/>
  <c r="H9" i="44"/>
  <c r="H9" i="41"/>
  <c r="H9" i="40"/>
  <c r="H9" i="38"/>
  <c r="H9" i="42"/>
  <c r="H9" i="37"/>
  <c r="H9" i="39"/>
  <c r="H9" i="36"/>
  <c r="G243" i="36"/>
  <c r="G67" i="36"/>
  <c r="G10" i="36"/>
  <c r="G171" i="36"/>
  <c r="G10" i="41"/>
  <c r="G243" i="41"/>
  <c r="G67" i="41"/>
  <c r="G171" i="41"/>
  <c r="G10" i="42"/>
  <c r="G243" i="42"/>
  <c r="G67" i="42"/>
  <c r="G171" i="42"/>
  <c r="G10" i="47"/>
  <c r="G171" i="47"/>
  <c r="G243" i="47"/>
  <c r="G67" i="47"/>
  <c r="G10" i="70"/>
  <c r="G67" i="70"/>
  <c r="G171" i="70"/>
  <c r="G243" i="70"/>
  <c r="G243" i="75"/>
  <c r="G67" i="75"/>
  <c r="G10" i="75"/>
  <c r="G171" i="75"/>
  <c r="K98" i="3"/>
  <c r="M32" i="3"/>
  <c r="M112" i="3" s="1"/>
  <c r="M104" i="3"/>
  <c r="M106" i="3"/>
  <c r="M105" i="3"/>
  <c r="M108" i="3"/>
  <c r="M95" i="3"/>
  <c r="M116" i="3"/>
  <c r="M121" i="3" s="1"/>
  <c r="M97" i="3"/>
  <c r="I81" i="1"/>
  <c r="K234" i="3"/>
  <c r="L189" i="3"/>
  <c r="K189" i="3"/>
  <c r="K190" i="3" s="1"/>
  <c r="K254" i="3" s="1"/>
  <c r="K258" i="3" s="1"/>
  <c r="J37" i="1"/>
  <c r="I41" i="1"/>
  <c r="H44" i="1"/>
  <c r="I40" i="1"/>
  <c r="J41" i="1"/>
  <c r="J36" i="1"/>
  <c r="L46" i="3"/>
  <c r="L190" i="3"/>
  <c r="L254" i="3" s="1"/>
  <c r="K40" i="1" s="1"/>
  <c r="L153" i="3"/>
  <c r="L250" i="3" s="1"/>
  <c r="K36" i="1" s="1"/>
  <c r="L257" i="3"/>
  <c r="K43" i="1" s="1"/>
  <c r="L234" i="3"/>
  <c r="L52" i="3"/>
  <c r="L49" i="3"/>
  <c r="K71" i="3"/>
  <c r="K76" i="3" s="1"/>
  <c r="K75" i="3" s="1"/>
  <c r="K99" i="3"/>
  <c r="F33" i="1"/>
  <c r="F9" i="61"/>
  <c r="F168" i="61" s="1"/>
  <c r="K53" i="3"/>
  <c r="K50" i="3" s="1"/>
  <c r="K31" i="3" s="1"/>
  <c r="K30" i="3" s="1"/>
  <c r="K94" i="3" s="1"/>
  <c r="H74" i="3"/>
  <c r="H102" i="3"/>
  <c r="P4" i="35"/>
  <c r="I114" i="3"/>
  <c r="I140" i="3" s="1"/>
  <c r="I74" i="3"/>
  <c r="G62" i="85"/>
  <c r="G71" i="85" s="1"/>
  <c r="G72" i="85" s="1"/>
  <c r="I82" i="1"/>
  <c r="H62" i="1"/>
  <c r="J258" i="3"/>
  <c r="I28" i="1"/>
  <c r="J94" i="3"/>
  <c r="J69" i="3"/>
  <c r="J107" i="3"/>
  <c r="J109" i="3" s="1"/>
  <c r="J76" i="3"/>
  <c r="J75" i="3" s="1"/>
  <c r="J70" i="3"/>
  <c r="J79" i="3"/>
  <c r="J95" i="3" s="1"/>
  <c r="G140" i="3"/>
  <c r="I9" i="3"/>
  <c r="H9" i="3"/>
  <c r="G67" i="3"/>
  <c r="G171" i="3"/>
  <c r="G243" i="3"/>
  <c r="G10" i="3"/>
  <c r="F16" i="1" s="1"/>
  <c r="I513" i="60"/>
  <c r="J512" i="60"/>
  <c r="J458" i="60"/>
  <c r="I459" i="60"/>
  <c r="Q102" i="3" l="1"/>
  <c r="Q121" i="3" s="1"/>
  <c r="P102" i="3"/>
  <c r="H243" i="41"/>
  <c r="H171" i="41"/>
  <c r="H10" i="41"/>
  <c r="H67" i="41"/>
  <c r="H171" i="46"/>
  <c r="H67" i="46"/>
  <c r="H243" i="46"/>
  <c r="H10" i="46"/>
  <c r="H10" i="45"/>
  <c r="H67" i="45"/>
  <c r="H243" i="45"/>
  <c r="H171" i="45"/>
  <c r="H10" i="70"/>
  <c r="H171" i="70"/>
  <c r="H243" i="70"/>
  <c r="H67" i="70"/>
  <c r="H10" i="72"/>
  <c r="H243" i="72"/>
  <c r="H67" i="72"/>
  <c r="H171" i="72"/>
  <c r="L40" i="1"/>
  <c r="H10" i="75"/>
  <c r="H67" i="75"/>
  <c r="H171" i="75"/>
  <c r="H243" i="75"/>
  <c r="M46" i="3"/>
  <c r="H10" i="37"/>
  <c r="H171" i="37"/>
  <c r="H243" i="37"/>
  <c r="H67" i="37"/>
  <c r="H243" i="44"/>
  <c r="H10" i="44"/>
  <c r="H67" i="44"/>
  <c r="H171" i="44"/>
  <c r="H67" i="69"/>
  <c r="H171" i="69"/>
  <c r="H243" i="69"/>
  <c r="H10" i="69"/>
  <c r="J9" i="76"/>
  <c r="J9" i="75"/>
  <c r="J9" i="72"/>
  <c r="J9" i="74"/>
  <c r="J9" i="73"/>
  <c r="J9" i="71"/>
  <c r="J9" i="70"/>
  <c r="J9" i="63"/>
  <c r="J9" i="46"/>
  <c r="J9" i="69"/>
  <c r="J9" i="45"/>
  <c r="J9" i="47"/>
  <c r="J9" i="48"/>
  <c r="J9" i="49"/>
  <c r="J9" i="42"/>
  <c r="J9" i="43"/>
  <c r="J9" i="44"/>
  <c r="J9" i="41"/>
  <c r="J9" i="39"/>
  <c r="J9" i="36"/>
  <c r="J9" i="50"/>
  <c r="J9" i="37"/>
  <c r="J9" i="38"/>
  <c r="J9" i="40"/>
  <c r="H10" i="36"/>
  <c r="H171" i="36"/>
  <c r="H67" i="36"/>
  <c r="H243" i="36"/>
  <c r="H171" i="38"/>
  <c r="H243" i="38"/>
  <c r="H67" i="38"/>
  <c r="H10" i="38"/>
  <c r="H10" i="50"/>
  <c r="H67" i="50"/>
  <c r="H171" i="50"/>
  <c r="H243" i="50"/>
  <c r="H67" i="48"/>
  <c r="H10" i="48"/>
  <c r="H243" i="48"/>
  <c r="H171" i="48"/>
  <c r="H67" i="74"/>
  <c r="H243" i="74"/>
  <c r="H171" i="74"/>
  <c r="H10" i="74"/>
  <c r="H67" i="73"/>
  <c r="H10" i="73"/>
  <c r="H171" i="73"/>
  <c r="H243" i="73"/>
  <c r="I9" i="76"/>
  <c r="I9" i="75"/>
  <c r="I9" i="72"/>
  <c r="I9" i="74"/>
  <c r="I9" i="73"/>
  <c r="I9" i="69"/>
  <c r="I9" i="49"/>
  <c r="I9" i="46"/>
  <c r="I9" i="71"/>
  <c r="I9" i="63"/>
  <c r="I9" i="47"/>
  <c r="I9" i="50"/>
  <c r="I9" i="44"/>
  <c r="I9" i="41"/>
  <c r="I9" i="48"/>
  <c r="I9" i="45"/>
  <c r="I9" i="42"/>
  <c r="I9" i="40"/>
  <c r="I9" i="38"/>
  <c r="I9" i="39"/>
  <c r="I9" i="36"/>
  <c r="I9" i="70"/>
  <c r="I9" i="43"/>
  <c r="I9" i="37"/>
  <c r="M234" i="3"/>
  <c r="M255" i="3"/>
  <c r="L41" i="1" s="1"/>
  <c r="L81" i="1"/>
  <c r="L113" i="1"/>
  <c r="K113" i="1"/>
  <c r="K81" i="1"/>
  <c r="H67" i="42"/>
  <c r="H10" i="42"/>
  <c r="H171" i="42"/>
  <c r="H243" i="42"/>
  <c r="H67" i="49"/>
  <c r="H10" i="49"/>
  <c r="H243" i="49"/>
  <c r="H171" i="49"/>
  <c r="H10" i="71"/>
  <c r="H171" i="71"/>
  <c r="H243" i="71"/>
  <c r="H67" i="71"/>
  <c r="H10" i="39"/>
  <c r="H67" i="39"/>
  <c r="H171" i="39"/>
  <c r="H243" i="39"/>
  <c r="H10" i="40"/>
  <c r="H171" i="40"/>
  <c r="H243" i="40"/>
  <c r="H67" i="40"/>
  <c r="H67" i="43"/>
  <c r="H10" i="43"/>
  <c r="H171" i="43"/>
  <c r="H243" i="43"/>
  <c r="H10" i="47"/>
  <c r="H243" i="47"/>
  <c r="H67" i="47"/>
  <c r="H171" i="47"/>
  <c r="H10" i="63"/>
  <c r="H243" i="63"/>
  <c r="H171" i="63"/>
  <c r="H67" i="63"/>
  <c r="H10" i="76"/>
  <c r="H171" i="76"/>
  <c r="H243" i="76"/>
  <c r="H67" i="76"/>
  <c r="K44" i="1"/>
  <c r="M52" i="3"/>
  <c r="M49" i="3"/>
  <c r="M53" i="3" s="1"/>
  <c r="M50" i="3" s="1"/>
  <c r="M31" i="3" s="1"/>
  <c r="M30" i="3" s="1"/>
  <c r="L28" i="1" s="1"/>
  <c r="K79" i="3"/>
  <c r="K95" i="3" s="1"/>
  <c r="K102" i="3" s="1"/>
  <c r="L99" i="3"/>
  <c r="L98" i="3"/>
  <c r="J40" i="1"/>
  <c r="I44" i="1"/>
  <c r="J43" i="1"/>
  <c r="L53" i="3"/>
  <c r="L50" i="3" s="1"/>
  <c r="L31" i="3" s="1"/>
  <c r="L30" i="3" s="1"/>
  <c r="L258" i="3"/>
  <c r="L71" i="3"/>
  <c r="L76" i="3" s="1"/>
  <c r="L75" i="3" s="1"/>
  <c r="K70" i="3"/>
  <c r="G33" i="1"/>
  <c r="G59" i="1" s="1"/>
  <c r="G77" i="1" s="1"/>
  <c r="G102" i="1" s="1"/>
  <c r="G9" i="61"/>
  <c r="G168" i="61" s="1"/>
  <c r="H33" i="1"/>
  <c r="H59" i="1" s="1"/>
  <c r="H77" i="1" s="1"/>
  <c r="H102" i="1" s="1"/>
  <c r="H9" i="61"/>
  <c r="H168" i="61" s="1"/>
  <c r="K107" i="3"/>
  <c r="K109" i="3" s="1"/>
  <c r="J28" i="1"/>
  <c r="I62" i="1"/>
  <c r="J79" i="1"/>
  <c r="K69" i="3"/>
  <c r="H140" i="3"/>
  <c r="I141" i="3" s="1"/>
  <c r="I249" i="3" s="1"/>
  <c r="Q4" i="35"/>
  <c r="J9" i="3"/>
  <c r="I9" i="61" s="1"/>
  <c r="I168" i="61" s="1"/>
  <c r="J102" i="3"/>
  <c r="J114" i="3"/>
  <c r="J74" i="3"/>
  <c r="I67" i="3"/>
  <c r="I10" i="3"/>
  <c r="H16" i="1" s="1"/>
  <c r="I243" i="3"/>
  <c r="I171" i="3"/>
  <c r="H171" i="3"/>
  <c r="H67" i="3"/>
  <c r="H243" i="3"/>
  <c r="H10" i="3"/>
  <c r="G16" i="1" s="1"/>
  <c r="I514" i="60"/>
  <c r="J513" i="60"/>
  <c r="I460" i="60"/>
  <c r="J459" i="60"/>
  <c r="I171" i="36" l="1"/>
  <c r="I10" i="36"/>
  <c r="I243" i="36"/>
  <c r="I67" i="36"/>
  <c r="I171" i="44"/>
  <c r="I67" i="44"/>
  <c r="I10" i="44"/>
  <c r="I243" i="44"/>
  <c r="I243" i="73"/>
  <c r="I10" i="73"/>
  <c r="I67" i="73"/>
  <c r="I171" i="73"/>
  <c r="J10" i="50"/>
  <c r="J171" i="50"/>
  <c r="J243" i="50"/>
  <c r="J67" i="50"/>
  <c r="J10" i="48"/>
  <c r="J243" i="48"/>
  <c r="J171" i="48"/>
  <c r="J67" i="48"/>
  <c r="J10" i="46"/>
  <c r="J67" i="46"/>
  <c r="J243" i="46"/>
  <c r="J171" i="46"/>
  <c r="J10" i="76"/>
  <c r="J243" i="76"/>
  <c r="J67" i="76"/>
  <c r="J171" i="76"/>
  <c r="M107" i="3"/>
  <c r="M109" i="3" s="1"/>
  <c r="I67" i="42"/>
  <c r="I171" i="42"/>
  <c r="I10" i="42"/>
  <c r="I243" i="42"/>
  <c r="I243" i="71"/>
  <c r="I171" i="71"/>
  <c r="I67" i="71"/>
  <c r="I10" i="71"/>
  <c r="I67" i="76"/>
  <c r="I171" i="76"/>
  <c r="I243" i="76"/>
  <c r="I10" i="76"/>
  <c r="J67" i="44"/>
  <c r="J243" i="44"/>
  <c r="J171" i="44"/>
  <c r="J10" i="44"/>
  <c r="J10" i="73"/>
  <c r="J67" i="73"/>
  <c r="J171" i="73"/>
  <c r="J243" i="73"/>
  <c r="I10" i="37"/>
  <c r="I171" i="37"/>
  <c r="I67" i="37"/>
  <c r="I243" i="37"/>
  <c r="I10" i="39"/>
  <c r="I67" i="39"/>
  <c r="I243" i="39"/>
  <c r="I171" i="39"/>
  <c r="I171" i="45"/>
  <c r="I243" i="45"/>
  <c r="I67" i="45"/>
  <c r="I10" i="45"/>
  <c r="I243" i="50"/>
  <c r="I171" i="50"/>
  <c r="I10" i="50"/>
  <c r="I67" i="50"/>
  <c r="I10" i="46"/>
  <c r="I67" i="46"/>
  <c r="I171" i="46"/>
  <c r="I243" i="46"/>
  <c r="I243" i="74"/>
  <c r="I171" i="74"/>
  <c r="I10" i="74"/>
  <c r="I67" i="74"/>
  <c r="J10" i="40"/>
  <c r="J243" i="40"/>
  <c r="J171" i="40"/>
  <c r="J67" i="40"/>
  <c r="J67" i="36"/>
  <c r="J10" i="36"/>
  <c r="J243" i="36"/>
  <c r="J171" i="36"/>
  <c r="J10" i="43"/>
  <c r="J171" i="43"/>
  <c r="J243" i="43"/>
  <c r="J67" i="43"/>
  <c r="J171" i="47"/>
  <c r="J243" i="47"/>
  <c r="J67" i="47"/>
  <c r="J10" i="47"/>
  <c r="J10" i="63"/>
  <c r="J243" i="63"/>
  <c r="J67" i="63"/>
  <c r="J171" i="63"/>
  <c r="J10" i="74"/>
  <c r="J171" i="74"/>
  <c r="J243" i="74"/>
  <c r="J67" i="74"/>
  <c r="M98" i="3"/>
  <c r="M99" i="3"/>
  <c r="M71" i="3"/>
  <c r="M69" i="3"/>
  <c r="I171" i="43"/>
  <c r="I10" i="43"/>
  <c r="I67" i="43"/>
  <c r="I243" i="43"/>
  <c r="I10" i="38"/>
  <c r="I243" i="38"/>
  <c r="I171" i="38"/>
  <c r="I67" i="38"/>
  <c r="I10" i="48"/>
  <c r="I67" i="48"/>
  <c r="I171" i="48"/>
  <c r="I243" i="48"/>
  <c r="I243" i="47"/>
  <c r="I10" i="47"/>
  <c r="I171" i="47"/>
  <c r="I67" i="47"/>
  <c r="I243" i="49"/>
  <c r="I10" i="49"/>
  <c r="I171" i="49"/>
  <c r="I67" i="49"/>
  <c r="I67" i="72"/>
  <c r="I10" i="72"/>
  <c r="I243" i="72"/>
  <c r="I171" i="72"/>
  <c r="J67" i="38"/>
  <c r="J171" i="38"/>
  <c r="J243" i="38"/>
  <c r="J10" i="38"/>
  <c r="J243" i="39"/>
  <c r="J171" i="39"/>
  <c r="J10" i="39"/>
  <c r="J67" i="39"/>
  <c r="J243" i="42"/>
  <c r="J67" i="42"/>
  <c r="J10" i="42"/>
  <c r="J171" i="42"/>
  <c r="J67" i="45"/>
  <c r="J10" i="45"/>
  <c r="J171" i="45"/>
  <c r="J243" i="45"/>
  <c r="J171" i="70"/>
  <c r="J243" i="70"/>
  <c r="J67" i="70"/>
  <c r="J10" i="70"/>
  <c r="J10" i="72"/>
  <c r="J243" i="72"/>
  <c r="J171" i="72"/>
  <c r="J67" i="72"/>
  <c r="L44" i="1"/>
  <c r="K9" i="76"/>
  <c r="K9" i="75"/>
  <c r="K9" i="74"/>
  <c r="K9" i="73"/>
  <c r="K9" i="70"/>
  <c r="K9" i="63"/>
  <c r="K9" i="72"/>
  <c r="K9" i="71"/>
  <c r="K9" i="69"/>
  <c r="K9" i="45"/>
  <c r="K9" i="47"/>
  <c r="K9" i="48"/>
  <c r="K9" i="49"/>
  <c r="K9" i="42"/>
  <c r="K9" i="43"/>
  <c r="K9" i="46"/>
  <c r="K9" i="50"/>
  <c r="K9" i="44"/>
  <c r="K9" i="41"/>
  <c r="K9" i="40"/>
  <c r="K9" i="37"/>
  <c r="K9" i="38"/>
  <c r="K9" i="39"/>
  <c r="K9" i="36"/>
  <c r="R4" i="35"/>
  <c r="M94" i="3"/>
  <c r="I243" i="70"/>
  <c r="I10" i="70"/>
  <c r="I171" i="70"/>
  <c r="I67" i="70"/>
  <c r="I243" i="40"/>
  <c r="I67" i="40"/>
  <c r="I171" i="40"/>
  <c r="I10" i="40"/>
  <c r="I10" i="41"/>
  <c r="I67" i="41"/>
  <c r="I243" i="41"/>
  <c r="I171" i="41"/>
  <c r="I171" i="63"/>
  <c r="I67" i="63"/>
  <c r="I10" i="63"/>
  <c r="I243" i="63"/>
  <c r="I171" i="69"/>
  <c r="I10" i="69"/>
  <c r="I67" i="69"/>
  <c r="I243" i="69"/>
  <c r="I67" i="75"/>
  <c r="I243" i="75"/>
  <c r="I171" i="75"/>
  <c r="I10" i="75"/>
  <c r="J67" i="37"/>
  <c r="J10" i="37"/>
  <c r="J171" i="37"/>
  <c r="J243" i="37"/>
  <c r="J10" i="41"/>
  <c r="J171" i="41"/>
  <c r="J243" i="41"/>
  <c r="J67" i="41"/>
  <c r="J10" i="49"/>
  <c r="J243" i="49"/>
  <c r="J171" i="49"/>
  <c r="J67" i="49"/>
  <c r="J243" i="69"/>
  <c r="J10" i="69"/>
  <c r="J171" i="69"/>
  <c r="J67" i="69"/>
  <c r="J10" i="71"/>
  <c r="J171" i="71"/>
  <c r="J243" i="71"/>
  <c r="J67" i="71"/>
  <c r="J10" i="75"/>
  <c r="J171" i="75"/>
  <c r="J243" i="75"/>
  <c r="J67" i="75"/>
  <c r="M258" i="3"/>
  <c r="L70" i="3"/>
  <c r="M74" i="3"/>
  <c r="M114" i="3"/>
  <c r="L94" i="3"/>
  <c r="L102" i="3" s="1"/>
  <c r="K28" i="1"/>
  <c r="J81" i="1"/>
  <c r="J82" i="1" s="1"/>
  <c r="J113" i="1"/>
  <c r="L69" i="3"/>
  <c r="J44" i="1"/>
  <c r="L107" i="3"/>
  <c r="L109" i="3" s="1"/>
  <c r="H141" i="3"/>
  <c r="H249" i="3" s="1"/>
  <c r="I252" i="3"/>
  <c r="I260" i="3" s="1"/>
  <c r="I273" i="3" s="1"/>
  <c r="I274" i="3" s="1"/>
  <c r="H35" i="1"/>
  <c r="H38" i="1" s="1"/>
  <c r="K74" i="3"/>
  <c r="K114" i="3"/>
  <c r="K140" i="3" s="1"/>
  <c r="K9" i="3"/>
  <c r="G252" i="3"/>
  <c r="G260" i="3" s="1"/>
  <c r="G273" i="3" s="1"/>
  <c r="G274" i="3" s="1"/>
  <c r="F35" i="1"/>
  <c r="F38" i="1" s="1"/>
  <c r="J10" i="3"/>
  <c r="I16" i="1" s="1"/>
  <c r="J67" i="3"/>
  <c r="J243" i="3"/>
  <c r="I33" i="1"/>
  <c r="I59" i="1" s="1"/>
  <c r="I77" i="1" s="1"/>
  <c r="I102" i="1" s="1"/>
  <c r="J171" i="3"/>
  <c r="J140" i="3"/>
  <c r="J514" i="60"/>
  <c r="I515" i="60"/>
  <c r="I461" i="60"/>
  <c r="J460" i="60"/>
  <c r="K67" i="49" l="1"/>
  <c r="K243" i="49"/>
  <c r="K10" i="49"/>
  <c r="K171" i="49"/>
  <c r="M70" i="3"/>
  <c r="M76" i="3"/>
  <c r="M75" i="3" s="1"/>
  <c r="L9" i="75"/>
  <c r="L9" i="76"/>
  <c r="L9" i="72"/>
  <c r="L9" i="74"/>
  <c r="L9" i="70"/>
  <c r="L9" i="63"/>
  <c r="L9" i="71"/>
  <c r="L9" i="69"/>
  <c r="L9" i="45"/>
  <c r="L9" i="47"/>
  <c r="L9" i="48"/>
  <c r="L9" i="73"/>
  <c r="L9" i="49"/>
  <c r="L9" i="46"/>
  <c r="L9" i="43"/>
  <c r="L9" i="50"/>
  <c r="L9" i="44"/>
  <c r="L9" i="41"/>
  <c r="L9" i="40"/>
  <c r="L9" i="38"/>
  <c r="S4" i="35"/>
  <c r="L9" i="42"/>
  <c r="L9" i="39"/>
  <c r="L9" i="36"/>
  <c r="L9" i="37"/>
  <c r="L9" i="3"/>
  <c r="K10" i="50"/>
  <c r="K171" i="50"/>
  <c r="K67" i="50"/>
  <c r="K243" i="50"/>
  <c r="K171" i="69"/>
  <c r="K243" i="69"/>
  <c r="K10" i="69"/>
  <c r="K67" i="69"/>
  <c r="K10" i="76"/>
  <c r="K171" i="76"/>
  <c r="K243" i="76"/>
  <c r="K67" i="76"/>
  <c r="K67" i="36"/>
  <c r="K243" i="36"/>
  <c r="K10" i="36"/>
  <c r="K171" i="36"/>
  <c r="K171" i="40"/>
  <c r="K10" i="40"/>
  <c r="K243" i="40"/>
  <c r="K67" i="40"/>
  <c r="K171" i="48"/>
  <c r="K10" i="48"/>
  <c r="K243" i="48"/>
  <c r="K67" i="48"/>
  <c r="K10" i="73"/>
  <c r="K67" i="73"/>
  <c r="K171" i="73"/>
  <c r="K243" i="73"/>
  <c r="K10" i="43"/>
  <c r="K171" i="43"/>
  <c r="K243" i="43"/>
  <c r="K67" i="43"/>
  <c r="K10" i="37"/>
  <c r="K243" i="37"/>
  <c r="K67" i="37"/>
  <c r="K171" i="37"/>
  <c r="K10" i="70"/>
  <c r="K67" i="70"/>
  <c r="K171" i="70"/>
  <c r="K243" i="70"/>
  <c r="K171" i="46"/>
  <c r="K243" i="46"/>
  <c r="K67" i="46"/>
  <c r="K10" i="46"/>
  <c r="K67" i="71"/>
  <c r="K171" i="71"/>
  <c r="K243" i="71"/>
  <c r="K10" i="71"/>
  <c r="K171" i="39"/>
  <c r="K243" i="39"/>
  <c r="K67" i="39"/>
  <c r="K10" i="39"/>
  <c r="K10" i="41"/>
  <c r="K171" i="41"/>
  <c r="K67" i="41"/>
  <c r="K243" i="41"/>
  <c r="K10" i="47"/>
  <c r="K67" i="47"/>
  <c r="K171" i="47"/>
  <c r="K243" i="47"/>
  <c r="K243" i="72"/>
  <c r="K10" i="72"/>
  <c r="K171" i="72"/>
  <c r="K67" i="72"/>
  <c r="K243" i="74"/>
  <c r="K10" i="74"/>
  <c r="K171" i="74"/>
  <c r="K67" i="74"/>
  <c r="M102" i="3"/>
  <c r="M140" i="3" s="1"/>
  <c r="K67" i="38"/>
  <c r="K243" i="38"/>
  <c r="K10" i="38"/>
  <c r="K171" i="38"/>
  <c r="K10" i="44"/>
  <c r="K171" i="44"/>
  <c r="K243" i="44"/>
  <c r="K67" i="44"/>
  <c r="K10" i="42"/>
  <c r="K67" i="42"/>
  <c r="K171" i="42"/>
  <c r="K243" i="42"/>
  <c r="K171" i="45"/>
  <c r="K67" i="45"/>
  <c r="K10" i="45"/>
  <c r="K243" i="45"/>
  <c r="K67" i="63"/>
  <c r="K243" i="63"/>
  <c r="K10" i="63"/>
  <c r="K171" i="63"/>
  <c r="K243" i="75"/>
  <c r="K67" i="75"/>
  <c r="K10" i="75"/>
  <c r="K171" i="75"/>
  <c r="L74" i="3"/>
  <c r="L114" i="3"/>
  <c r="L140" i="3" s="1"/>
  <c r="J62" i="1"/>
  <c r="K79" i="1"/>
  <c r="K82" i="1" s="1"/>
  <c r="H252" i="3"/>
  <c r="H260" i="3" s="1"/>
  <c r="H273" i="3" s="1"/>
  <c r="H274" i="3" s="1"/>
  <c r="G35" i="1"/>
  <c r="G38" i="1" s="1"/>
  <c r="G46" i="1" s="1"/>
  <c r="G53" i="1" s="1"/>
  <c r="K171" i="3"/>
  <c r="J33" i="1"/>
  <c r="J59" i="1" s="1"/>
  <c r="J77" i="1" s="1"/>
  <c r="J102" i="1" s="1"/>
  <c r="J9" i="61"/>
  <c r="J168" i="61" s="1"/>
  <c r="K243" i="3"/>
  <c r="K10" i="3"/>
  <c r="J16" i="1" s="1"/>
  <c r="K67" i="3"/>
  <c r="F46" i="1"/>
  <c r="F53" i="1" s="1"/>
  <c r="H46" i="1"/>
  <c r="H53" i="1" s="1"/>
  <c r="H111" i="1" s="1"/>
  <c r="K141" i="3"/>
  <c r="K249" i="3" s="1"/>
  <c r="J141" i="3"/>
  <c r="J249" i="3" s="1"/>
  <c r="I35" i="1" s="1"/>
  <c r="J515" i="60"/>
  <c r="I516" i="60"/>
  <c r="I462" i="60"/>
  <c r="J461" i="60"/>
  <c r="L10" i="3" l="1"/>
  <c r="K16" i="1" s="1"/>
  <c r="K9" i="61"/>
  <c r="K168" i="61" s="1"/>
  <c r="K33" i="1"/>
  <c r="K59" i="1" s="1"/>
  <c r="K77" i="1" s="1"/>
  <c r="K102" i="1" s="1"/>
  <c r="L67" i="3"/>
  <c r="L243" i="3"/>
  <c r="L171" i="3"/>
  <c r="L67" i="41"/>
  <c r="L171" i="41"/>
  <c r="L243" i="41"/>
  <c r="L10" i="41"/>
  <c r="L10" i="63"/>
  <c r="L243" i="63"/>
  <c r="L171" i="63"/>
  <c r="L67" i="63"/>
  <c r="L10" i="37"/>
  <c r="L171" i="37"/>
  <c r="L243" i="37"/>
  <c r="L67" i="37"/>
  <c r="M9" i="76"/>
  <c r="M9" i="72"/>
  <c r="M9" i="74"/>
  <c r="M9" i="73"/>
  <c r="M9" i="71"/>
  <c r="M9" i="69"/>
  <c r="M9" i="75"/>
  <c r="M9" i="49"/>
  <c r="M9" i="46"/>
  <c r="M9" i="70"/>
  <c r="M9" i="63"/>
  <c r="M9" i="48"/>
  <c r="M9" i="50"/>
  <c r="M9" i="44"/>
  <c r="M9" i="41"/>
  <c r="M9" i="45"/>
  <c r="M9" i="42"/>
  <c r="M9" i="39"/>
  <c r="M9" i="36"/>
  <c r="M9" i="47"/>
  <c r="M9" i="43"/>
  <c r="M9" i="40"/>
  <c r="M9" i="37"/>
  <c r="M9" i="3"/>
  <c r="M9" i="38"/>
  <c r="L243" i="44"/>
  <c r="L10" i="44"/>
  <c r="L67" i="44"/>
  <c r="L171" i="44"/>
  <c r="L10" i="49"/>
  <c r="L171" i="49"/>
  <c r="L67" i="49"/>
  <c r="L243" i="49"/>
  <c r="L10" i="45"/>
  <c r="L243" i="45"/>
  <c r="L171" i="45"/>
  <c r="L67" i="45"/>
  <c r="L67" i="70"/>
  <c r="L243" i="70"/>
  <c r="L10" i="70"/>
  <c r="L171" i="70"/>
  <c r="L10" i="75"/>
  <c r="L171" i="75"/>
  <c r="L243" i="75"/>
  <c r="L67" i="75"/>
  <c r="L10" i="42"/>
  <c r="L171" i="42"/>
  <c r="L67" i="42"/>
  <c r="L243" i="42"/>
  <c r="L67" i="46"/>
  <c r="L243" i="46"/>
  <c r="L10" i="46"/>
  <c r="L171" i="46"/>
  <c r="L10" i="47"/>
  <c r="L67" i="47"/>
  <c r="L171" i="47"/>
  <c r="L243" i="47"/>
  <c r="L10" i="76"/>
  <c r="L67" i="76"/>
  <c r="L171" i="76"/>
  <c r="L243" i="76"/>
  <c r="L10" i="36"/>
  <c r="L243" i="36"/>
  <c r="L67" i="36"/>
  <c r="L171" i="36"/>
  <c r="L243" i="38"/>
  <c r="L10" i="38"/>
  <c r="L67" i="38"/>
  <c r="L171" i="38"/>
  <c r="L10" i="50"/>
  <c r="L243" i="50"/>
  <c r="L67" i="50"/>
  <c r="L171" i="50"/>
  <c r="L67" i="73"/>
  <c r="L10" i="73"/>
  <c r="L171" i="73"/>
  <c r="L243" i="73"/>
  <c r="L171" i="69"/>
  <c r="L243" i="69"/>
  <c r="L10" i="69"/>
  <c r="L67" i="69"/>
  <c r="L10" i="74"/>
  <c r="L67" i="74"/>
  <c r="L243" i="74"/>
  <c r="L171" i="74"/>
  <c r="K62" i="1"/>
  <c r="L79" i="1"/>
  <c r="L82" i="1" s="1"/>
  <c r="L62" i="1" s="1"/>
  <c r="L10" i="39"/>
  <c r="L171" i="39"/>
  <c r="L243" i="39"/>
  <c r="L67" i="39"/>
  <c r="L10" i="40"/>
  <c r="L171" i="40"/>
  <c r="L243" i="40"/>
  <c r="L67" i="40"/>
  <c r="L10" i="43"/>
  <c r="L243" i="43"/>
  <c r="L67" i="43"/>
  <c r="L171" i="43"/>
  <c r="L67" i="48"/>
  <c r="L10" i="48"/>
  <c r="L243" i="48"/>
  <c r="L171" i="48"/>
  <c r="L10" i="71"/>
  <c r="L243" i="71"/>
  <c r="L67" i="71"/>
  <c r="L171" i="71"/>
  <c r="L10" i="72"/>
  <c r="L171" i="72"/>
  <c r="L243" i="72"/>
  <c r="L67" i="72"/>
  <c r="L141" i="3"/>
  <c r="L249" i="3" s="1"/>
  <c r="L252" i="3" s="1"/>
  <c r="L260" i="3" s="1"/>
  <c r="L273" i="3" s="1"/>
  <c r="L274" i="3" s="1"/>
  <c r="M141" i="3"/>
  <c r="M249" i="3" s="1"/>
  <c r="G111" i="1"/>
  <c r="G54" i="1"/>
  <c r="K252" i="3"/>
  <c r="K260" i="3" s="1"/>
  <c r="K273" i="3" s="1"/>
  <c r="K274" i="3" s="1"/>
  <c r="G70" i="1"/>
  <c r="H70" i="1" s="1"/>
  <c r="H54" i="1"/>
  <c r="F54" i="1"/>
  <c r="J252" i="3"/>
  <c r="J260" i="3" s="1"/>
  <c r="J273" i="3" s="1"/>
  <c r="J274" i="3" s="1"/>
  <c r="I38" i="1"/>
  <c r="G91" i="1"/>
  <c r="J516" i="60"/>
  <c r="I517" i="60"/>
  <c r="I463" i="60"/>
  <c r="J462" i="60"/>
  <c r="M67" i="39" l="1"/>
  <c r="M10" i="39"/>
  <c r="M243" i="39"/>
  <c r="M171" i="39"/>
  <c r="M243" i="44"/>
  <c r="M171" i="44"/>
  <c r="M67" i="44"/>
  <c r="M10" i="44"/>
  <c r="M67" i="70"/>
  <c r="M10" i="70"/>
  <c r="M243" i="70"/>
  <c r="M171" i="70"/>
  <c r="M10" i="69"/>
  <c r="M67" i="69"/>
  <c r="M243" i="69"/>
  <c r="M171" i="69"/>
  <c r="M243" i="72"/>
  <c r="M10" i="72"/>
  <c r="M67" i="72"/>
  <c r="M171" i="72"/>
  <c r="M252" i="3"/>
  <c r="M260" i="3" s="1"/>
  <c r="M273" i="3" s="1"/>
  <c r="M274" i="3" s="1"/>
  <c r="L35" i="1"/>
  <c r="L38" i="1" s="1"/>
  <c r="L46" i="1" s="1"/>
  <c r="L53" i="1" s="1"/>
  <c r="M10" i="38"/>
  <c r="M171" i="38"/>
  <c r="M67" i="38"/>
  <c r="M243" i="38"/>
  <c r="M10" i="43"/>
  <c r="M243" i="43"/>
  <c r="M67" i="43"/>
  <c r="M171" i="43"/>
  <c r="M243" i="42"/>
  <c r="M10" i="42"/>
  <c r="M171" i="42"/>
  <c r="M67" i="42"/>
  <c r="M10" i="50"/>
  <c r="M171" i="50"/>
  <c r="M67" i="50"/>
  <c r="M243" i="50"/>
  <c r="M67" i="46"/>
  <c r="M10" i="46"/>
  <c r="M243" i="46"/>
  <c r="M171" i="46"/>
  <c r="M67" i="71"/>
  <c r="M171" i="71"/>
  <c r="M10" i="71"/>
  <c r="M243" i="71"/>
  <c r="M243" i="76"/>
  <c r="M171" i="76"/>
  <c r="M67" i="76"/>
  <c r="M10" i="76"/>
  <c r="M67" i="40"/>
  <c r="M171" i="40"/>
  <c r="M10" i="40"/>
  <c r="M243" i="40"/>
  <c r="M10" i="3"/>
  <c r="L16" i="1" s="1"/>
  <c r="L9" i="61"/>
  <c r="L168" i="61" s="1"/>
  <c r="L33" i="1"/>
  <c r="L59" i="1" s="1"/>
  <c r="L77" i="1" s="1"/>
  <c r="L102" i="1" s="1"/>
  <c r="M243" i="3"/>
  <c r="M171" i="3"/>
  <c r="M67" i="3"/>
  <c r="M10" i="47"/>
  <c r="M67" i="47"/>
  <c r="M243" i="47"/>
  <c r="M171" i="47"/>
  <c r="M243" i="45"/>
  <c r="M171" i="45"/>
  <c r="M67" i="45"/>
  <c r="M10" i="45"/>
  <c r="M10" i="48"/>
  <c r="M67" i="48"/>
  <c r="M243" i="48"/>
  <c r="M171" i="48"/>
  <c r="M10" i="49"/>
  <c r="M243" i="49"/>
  <c r="M171" i="49"/>
  <c r="M67" i="49"/>
  <c r="M67" i="73"/>
  <c r="M10" i="73"/>
  <c r="M171" i="73"/>
  <c r="M243" i="73"/>
  <c r="M10" i="37"/>
  <c r="M67" i="37"/>
  <c r="M243" i="37"/>
  <c r="M171" i="37"/>
  <c r="M10" i="36"/>
  <c r="M67" i="36"/>
  <c r="M243" i="36"/>
  <c r="M171" i="36"/>
  <c r="M171" i="41"/>
  <c r="M10" i="41"/>
  <c r="M243" i="41"/>
  <c r="M67" i="41"/>
  <c r="M171" i="63"/>
  <c r="M67" i="63"/>
  <c r="M10" i="63"/>
  <c r="M243" i="63"/>
  <c r="M67" i="75"/>
  <c r="M10" i="75"/>
  <c r="M171" i="75"/>
  <c r="M243" i="75"/>
  <c r="M10" i="74"/>
  <c r="M67" i="74"/>
  <c r="M243" i="74"/>
  <c r="M171" i="74"/>
  <c r="K35" i="1"/>
  <c r="K38" i="1" s="1"/>
  <c r="K46" i="1" s="1"/>
  <c r="K53" i="1" s="1"/>
  <c r="J35" i="1"/>
  <c r="J38" i="1" s="1"/>
  <c r="J46" i="1" s="1"/>
  <c r="J53" i="1" s="1"/>
  <c r="J54" i="1" s="1"/>
  <c r="I46" i="1"/>
  <c r="I53" i="1" s="1"/>
  <c r="I111" i="1" s="1"/>
  <c r="G71" i="1"/>
  <c r="H84" i="1"/>
  <c r="H91" i="1" s="1"/>
  <c r="I518" i="60"/>
  <c r="J517" i="60"/>
  <c r="I464" i="60"/>
  <c r="J463" i="60"/>
  <c r="L111" i="1" l="1"/>
  <c r="L54" i="1"/>
  <c r="K111" i="1"/>
  <c r="K54" i="1"/>
  <c r="J111" i="1"/>
  <c r="I70" i="1"/>
  <c r="J70" i="1" s="1"/>
  <c r="K70" i="1" s="1"/>
  <c r="L70" i="1" s="1"/>
  <c r="I54" i="1"/>
  <c r="G74" i="1"/>
  <c r="G122" i="1"/>
  <c r="H71" i="1"/>
  <c r="I84" i="1"/>
  <c r="I91" i="1" s="1"/>
  <c r="I519" i="60"/>
  <c r="J518" i="60"/>
  <c r="J464" i="60"/>
  <c r="I465" i="60"/>
  <c r="I71" i="1" l="1"/>
  <c r="I74" i="1" s="1"/>
  <c r="J84" i="1"/>
  <c r="J91" i="1" s="1"/>
  <c r="H74" i="1"/>
  <c r="H122" i="1"/>
  <c r="I520" i="60"/>
  <c r="J519" i="60"/>
  <c r="J465" i="60"/>
  <c r="I466" i="60"/>
  <c r="J71" i="1" l="1"/>
  <c r="K84" i="1"/>
  <c r="K91" i="1" s="1"/>
  <c r="I122" i="1"/>
  <c r="J122" i="1"/>
  <c r="J74" i="1"/>
  <c r="I521" i="60"/>
  <c r="J520" i="60"/>
  <c r="J466" i="60"/>
  <c r="I467" i="60"/>
  <c r="K71" i="1" l="1"/>
  <c r="L84" i="1"/>
  <c r="L91" i="1" s="1"/>
  <c r="L71" i="1" s="1"/>
  <c r="K122" i="1"/>
  <c r="K74" i="1"/>
  <c r="J521" i="60"/>
  <c r="I522" i="60"/>
  <c r="J467" i="60"/>
  <c r="I468" i="60"/>
  <c r="L122" i="1" l="1"/>
  <c r="L74" i="1"/>
  <c r="I523" i="60"/>
  <c r="J522" i="60"/>
  <c r="I469" i="60"/>
  <c r="J468" i="60"/>
  <c r="I524" i="60" l="1"/>
  <c r="J523" i="60"/>
  <c r="J469" i="60"/>
  <c r="I470" i="60"/>
  <c r="I525" i="60" l="1"/>
  <c r="J524" i="60"/>
  <c r="J470" i="60"/>
  <c r="I471" i="60"/>
  <c r="J525" i="60" l="1"/>
  <c r="I526" i="60"/>
  <c r="J471" i="60"/>
  <c r="I472" i="60"/>
  <c r="J526" i="60" l="1"/>
  <c r="I527" i="60"/>
  <c r="J472" i="60"/>
  <c r="I473" i="60"/>
  <c r="J527" i="60" l="1"/>
  <c r="I528" i="60"/>
  <c r="I474" i="60"/>
  <c r="J473" i="60"/>
  <c r="I529" i="60" l="1"/>
  <c r="J528" i="60"/>
  <c r="I475" i="60"/>
  <c r="J474" i="60"/>
  <c r="J529" i="60" l="1"/>
  <c r="I530" i="60"/>
  <c r="J475" i="60"/>
  <c r="I476" i="60"/>
  <c r="I531" i="60" l="1"/>
  <c r="J530" i="60"/>
  <c r="I477" i="60"/>
  <c r="J476" i="60"/>
  <c r="J531" i="60" l="1"/>
  <c r="I532" i="60"/>
  <c r="I478" i="60"/>
  <c r="J477" i="60"/>
  <c r="I533" i="60" l="1"/>
  <c r="J532" i="60"/>
  <c r="J478" i="60"/>
  <c r="I479" i="60"/>
  <c r="I534" i="60" l="1"/>
  <c r="J533" i="60"/>
  <c r="J479" i="60"/>
  <c r="I480" i="60"/>
  <c r="I535" i="60" l="1"/>
  <c r="J534" i="60"/>
  <c r="J480" i="60"/>
  <c r="I481" i="60"/>
  <c r="J535" i="60" l="1"/>
  <c r="I536" i="60"/>
  <c r="I482" i="60"/>
  <c r="J481" i="60"/>
  <c r="I537" i="60" l="1"/>
  <c r="J536" i="60"/>
  <c r="J482" i="60"/>
  <c r="I483" i="60"/>
  <c r="I538" i="60" l="1"/>
  <c r="J537" i="60"/>
  <c r="J483" i="60"/>
  <c r="I484" i="60"/>
  <c r="J538" i="60" l="1"/>
  <c r="I539" i="60"/>
  <c r="J484" i="60"/>
  <c r="I485" i="60"/>
  <c r="J539" i="60" l="1"/>
  <c r="I540" i="60"/>
  <c r="I486" i="60"/>
  <c r="J485" i="60"/>
  <c r="J540" i="60" l="1"/>
  <c r="I541" i="60"/>
  <c r="J486" i="60"/>
  <c r="I487" i="60"/>
  <c r="J541" i="60" l="1"/>
  <c r="I542" i="60"/>
  <c r="I488" i="60"/>
  <c r="J487" i="60"/>
  <c r="I543" i="60" l="1"/>
  <c r="J542" i="60"/>
  <c r="I489" i="60"/>
  <c r="J488" i="60"/>
  <c r="J543" i="60" l="1"/>
  <c r="I544" i="60"/>
  <c r="I490" i="60"/>
  <c r="J490" i="60" s="1"/>
  <c r="J489" i="60"/>
  <c r="I545" i="60" l="1"/>
  <c r="J545" i="60" s="1"/>
  <c r="J544" i="60"/>
  <c r="G105" i="1"/>
  <c r="G64" i="1"/>
  <c r="G67" i="1" l="1"/>
  <c r="H105" i="1" s="1"/>
  <c r="G116" i="1"/>
  <c r="H64" i="1"/>
  <c r="I64" i="1" s="1"/>
  <c r="G120" i="1"/>
  <c r="G124" i="1" s="1"/>
  <c r="G142" i="1" s="1"/>
  <c r="G143" i="1" l="1"/>
  <c r="G146" i="1"/>
  <c r="G68" i="1"/>
  <c r="H67" i="1"/>
  <c r="H68" i="1" s="1"/>
  <c r="J64" i="1"/>
  <c r="J116" i="1" s="1"/>
  <c r="J120" i="1" s="1"/>
  <c r="J124" i="1" s="1"/>
  <c r="J142" i="1" s="1"/>
  <c r="G145" i="1"/>
  <c r="H116" i="1"/>
  <c r="H120" i="1" s="1"/>
  <c r="H124" i="1" s="1"/>
  <c r="H142" i="1" s="1"/>
  <c r="J67" i="1"/>
  <c r="I67" i="1"/>
  <c r="I116" i="1"/>
  <c r="I120" i="1" s="1"/>
  <c r="I124" i="1" s="1"/>
  <c r="I142" i="1" s="1"/>
  <c r="I105" i="1" l="1"/>
  <c r="H146" i="1"/>
  <c r="H143" i="1"/>
  <c r="K64" i="1"/>
  <c r="J68" i="1"/>
  <c r="K105" i="1"/>
  <c r="H145" i="1"/>
  <c r="I145" i="1" s="1"/>
  <c r="J145" i="1" s="1"/>
  <c r="J146" i="1"/>
  <c r="I143" i="1"/>
  <c r="J105" i="1"/>
  <c r="J143" i="1"/>
  <c r="I68" i="1"/>
  <c r="I146" i="1"/>
  <c r="L64" i="1" l="1"/>
  <c r="L116" i="1"/>
  <c r="L120" i="1" s="1"/>
  <c r="L124" i="1" s="1"/>
  <c r="L142" i="1" s="1"/>
  <c r="K67" i="1"/>
  <c r="K116" i="1"/>
  <c r="K120" i="1" s="1"/>
  <c r="K124" i="1" s="1"/>
  <c r="K142" i="1" s="1"/>
  <c r="K145" i="1" s="1"/>
  <c r="K143" i="1" l="1"/>
  <c r="L105" i="1"/>
  <c r="L145" i="1"/>
  <c r="L67" i="1"/>
  <c r="L143" i="1" s="1"/>
  <c r="K68" i="1"/>
  <c r="K146" i="1"/>
  <c r="L146" i="1" l="1"/>
  <c r="L68" i="1"/>
</calcChain>
</file>

<file path=xl/comments1.xml><?xml version="1.0" encoding="utf-8"?>
<comments xmlns="http://schemas.openxmlformats.org/spreadsheetml/2006/main">
  <authors>
    <author>ReinierG</author>
  </authors>
  <commentList>
    <comment ref="D28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10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11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12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13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14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15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16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17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18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19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2.xml><?xml version="1.0" encoding="utf-8"?>
<comments xmlns="http://schemas.openxmlformats.org/spreadsheetml/2006/main">
  <authors>
    <author>Reinier Goedhart</author>
    <author>Keizer</author>
    <author xml:space="preserve"> </author>
  </authors>
  <commentList>
    <comment ref="G12" authorId="0" shapeId="0">
      <text>
        <r>
          <rPr>
            <sz val="8"/>
            <color indexed="81"/>
            <rFont val="Tahoma"/>
            <family val="2"/>
          </rPr>
          <t xml:space="preserve">
aangepast ihkv bekostiging GHVO voor het OO
</t>
        </r>
      </text>
    </comment>
    <comment ref="G13" authorId="0" shapeId="0">
      <text>
        <r>
          <rPr>
            <sz val="8"/>
            <color indexed="81"/>
            <rFont val="Tahoma"/>
            <family val="2"/>
          </rPr>
          <t xml:space="preserve">
aangepast ihkv bekostiging GHVO voor het OO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Reinier Goedhart:</t>
        </r>
        <r>
          <rPr>
            <sz val="9"/>
            <color indexed="81"/>
            <rFont val="Tahoma"/>
            <family val="2"/>
          </rPr>
          <t xml:space="preserve">
Afschaffen IMBU</t>
        </r>
      </text>
    </comment>
    <comment ref="G39" authorId="0" shapeId="0">
      <text>
        <r>
          <rPr>
            <sz val="8"/>
            <color indexed="81"/>
            <rFont val="Tahoma"/>
            <family val="2"/>
          </rPr>
          <t xml:space="preserve">
andere berekening tov vorig jaar
</t>
        </r>
      </text>
    </comment>
    <comment ref="F45" authorId="0" shapeId="0">
      <text>
        <r>
          <rPr>
            <sz val="10"/>
            <color indexed="81"/>
            <rFont val="Tahoma"/>
            <family val="2"/>
          </rPr>
          <t>impulstoeslag (€ 1.342) + extra impulstoeslag (€ 211)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52" authorId="1" shapeId="0">
      <text>
        <r>
          <rPr>
            <sz val="8"/>
            <color indexed="81"/>
            <rFont val="Tahoma"/>
            <family val="2"/>
          </rPr>
          <t>impuls ondersteuning WPO, schaal 4 functie</t>
        </r>
      </text>
    </comment>
    <comment ref="A53" authorId="1" shapeId="0">
      <text>
        <r>
          <rPr>
            <sz val="8"/>
            <color indexed="81"/>
            <rFont val="Tahoma"/>
            <family val="2"/>
          </rPr>
          <t>Dit budget is bedoeld om de functie van schoolleider op een kleine school (aantal leerlingen 1 okt  T-1  &lt; 195 ll) aantrekkelijker te maken. GK 2004, 17, pg. 13.</t>
        </r>
      </text>
    </comment>
    <comment ref="G56" authorId="0" shapeId="0">
      <text>
        <r>
          <rPr>
            <sz val="10"/>
            <color indexed="81"/>
            <rFont val="Tahoma"/>
            <family val="2"/>
          </rPr>
          <t>verhoging als gevolg van toevoeging geld voor kleine scholen uit het opgeheven budget B&amp;M</t>
        </r>
      </text>
    </comment>
    <comment ref="G57" authorId="0" shapeId="0">
      <text>
        <r>
          <rPr>
            <sz val="10"/>
            <color indexed="81"/>
            <rFont val="Tahoma"/>
            <family val="2"/>
          </rPr>
          <t>verhoging als gevolg van toevoeging geld voor kleine scholen uit het opgeheven budget B&amp;M</t>
        </r>
      </text>
    </comment>
    <comment ref="A59" authorId="1" shapeId="0">
      <text>
        <r>
          <rPr>
            <sz val="8"/>
            <color indexed="81"/>
            <rFont val="Tahoma"/>
            <family val="2"/>
          </rPr>
          <t>Het criterium van de 70% moet gelden op basis van de leerlinggegevens van  1 okt. 2001. De feitelijke omvang vindt plaats op basis van de reguliere teldatum 1 oktober T-1.
Regeling is gestopt na schooljaar 09-10.</t>
        </r>
      </text>
    </comment>
    <comment ref="A60" authorId="1" shapeId="0">
      <text>
        <r>
          <rPr>
            <sz val="8"/>
            <color indexed="81"/>
            <rFont val="Tahoma"/>
            <family val="2"/>
          </rPr>
          <t>Het criterium van de 70% moet gelden op basis van de leerlinggegevens van  1 okt. 2001. De feitelijke omvang vindt plaats op basis van de reguliere teldatum 1 oktober T-1.
Regeling is gestopt na schooljaar 09-10.</t>
        </r>
      </text>
    </comment>
    <comment ref="H68" authorId="2" shapeId="0">
      <text>
        <r>
          <rPr>
            <sz val="8"/>
            <color indexed="81"/>
            <rFont val="Tahoma"/>
            <family val="2"/>
          </rPr>
          <t xml:space="preserve">
o.b.v. bedragen staatscourant 15 december 2011</t>
        </r>
      </text>
    </comment>
    <comment ref="I68" authorId="2" shapeId="0">
      <text>
        <r>
          <rPr>
            <sz val="8"/>
            <color indexed="81"/>
            <rFont val="Tahoma"/>
            <family val="2"/>
          </rPr>
          <t xml:space="preserve">
o.b.v. bedragen staatscourant 15 december 2011</t>
        </r>
      </text>
    </comment>
    <comment ref="H69" authorId="2" shapeId="0">
      <text>
        <r>
          <rPr>
            <sz val="8"/>
            <color indexed="81"/>
            <rFont val="Tahoma"/>
            <family val="2"/>
          </rPr>
          <t xml:space="preserve">
o.b.v. bedragen staatscourant 15 december 2011</t>
        </r>
      </text>
    </comment>
    <comment ref="I69" authorId="2" shapeId="0">
      <text>
        <r>
          <rPr>
            <sz val="8"/>
            <color indexed="81"/>
            <rFont val="Tahoma"/>
            <family val="2"/>
          </rPr>
          <t xml:space="preserve">
o.b.v. bedragen staatscourant 15 december 2011</t>
        </r>
      </text>
    </comment>
  </commentList>
</comments>
</file>

<file path=xl/comments20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21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22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23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24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25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26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27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3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4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5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6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7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8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comments9.xml><?xml version="1.0" encoding="utf-8"?>
<comments xmlns="http://schemas.openxmlformats.org/spreadsheetml/2006/main">
  <authors>
    <author>ReinierG</author>
  </authors>
  <commentList>
    <comment ref="D30" authorId="0" shape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choolgewicht:  Gewichtenregeling - (drempelpercentage  x  totaal aantal leerlingen)
</t>
        </r>
      </text>
    </comment>
  </commentList>
</comments>
</file>

<file path=xl/sharedStrings.xml><?xml version="1.0" encoding="utf-8"?>
<sst xmlns="http://schemas.openxmlformats.org/spreadsheetml/2006/main" count="4173" uniqueCount="332">
  <si>
    <t xml:space="preserve">Overige baten </t>
  </si>
  <si>
    <t>BEKOSTIGINGSGEGEVENS</t>
  </si>
  <si>
    <t>Rijksbijdrage OCW</t>
  </si>
  <si>
    <t>totaal + 3 %</t>
  </si>
  <si>
    <t>4-7 jaar</t>
  </si>
  <si>
    <t>vanaf 8 jaar</t>
  </si>
  <si>
    <t>gewichtsafhankelijke vergoeding</t>
  </si>
  <si>
    <t>Groepsafhankelijke PvE's</t>
  </si>
  <si>
    <t>1. Onderhoud</t>
  </si>
  <si>
    <t>a. gebouw</t>
  </si>
  <si>
    <t>b. tuin</t>
  </si>
  <si>
    <t>c. schoonmaak</t>
  </si>
  <si>
    <t>2. Energie en water</t>
  </si>
  <si>
    <t>a. Electriciteitsverbruik</t>
  </si>
  <si>
    <t>b. Verwarming</t>
  </si>
  <si>
    <t>Leerlingafhankelijke PvE's</t>
  </si>
  <si>
    <t>a. Medezeggenschap</t>
  </si>
  <si>
    <t>c. WA-verzekering</t>
  </si>
  <si>
    <t>d. Culturele vorming</t>
  </si>
  <si>
    <t>f. Dienstreizen</t>
  </si>
  <si>
    <t>h. Vervanging en aanpassing meubilair</t>
  </si>
  <si>
    <t>a. Administratie</t>
  </si>
  <si>
    <t>b. Onderhoudsbeheer</t>
  </si>
  <si>
    <t>c. Beheer en bestuur</t>
  </si>
  <si>
    <t>c.Waterverbruik</t>
  </si>
  <si>
    <t>b.Ouderbijdrage ihk medezeggenschap</t>
  </si>
  <si>
    <t>1. Middelen</t>
  </si>
  <si>
    <t>2. Administratie, beheer en bestuur</t>
  </si>
  <si>
    <t>Gewichtenregeling</t>
  </si>
  <si>
    <t>waarvan gewichtsleerling:</t>
  </si>
  <si>
    <t xml:space="preserve">totaal </t>
  </si>
  <si>
    <t>kleine scholentoeslag</t>
  </si>
  <si>
    <t>schooljaar</t>
  </si>
  <si>
    <t>factor OB</t>
  </si>
  <si>
    <t>factor BB</t>
  </si>
  <si>
    <t>factor gewicht</t>
  </si>
  <si>
    <t>bedrag</t>
  </si>
  <si>
    <t>teldatum leerlingen (t-1) per 1 oktober</t>
  </si>
  <si>
    <t>onderbouw</t>
  </si>
  <si>
    <t>bovenbouw</t>
  </si>
  <si>
    <t>onderbouwformatie vast</t>
  </si>
  <si>
    <t>onderbouwformatie per ll</t>
  </si>
  <si>
    <t>bovenbouwformatie vast</t>
  </si>
  <si>
    <t>bovenbouwformatie per ll</t>
  </si>
  <si>
    <t>toeslag directie</t>
  </si>
  <si>
    <t>vast bedrag per school</t>
  </si>
  <si>
    <t>kleine scholen toeslag</t>
  </si>
  <si>
    <t>leerlingafhankelijke vergoeding</t>
  </si>
  <si>
    <t xml:space="preserve">delen door </t>
  </si>
  <si>
    <t>onderw.achterst.vast (schoolgewicht)</t>
  </si>
  <si>
    <t>onderw.achterst.per ll. (schoolgewicht)</t>
  </si>
  <si>
    <t>omslagpunt lln. directietoeslag</t>
  </si>
  <si>
    <t>voet kleine scholen toeslag (vast deel)</t>
  </si>
  <si>
    <t>voet kleine scholen toeslag (leeftijdsafhankelijk deel)</t>
  </si>
  <si>
    <t>aftrek kleine scholen toeslag (vast deel)</t>
  </si>
  <si>
    <t>aftrek kleine scholen toeslag (leeftijdsafhankelijk deel)</t>
  </si>
  <si>
    <t>zeer kleine scholen toeslag (vast deel)</t>
  </si>
  <si>
    <t>zeer kleine scholen toeslag (leeftijdsafhankelijk deel)</t>
  </si>
  <si>
    <t>(G)</t>
  </si>
  <si>
    <t xml:space="preserve">br. grondopp. </t>
  </si>
  <si>
    <t>(A)</t>
  </si>
  <si>
    <t>factor KST</t>
  </si>
  <si>
    <t>correctie KST</t>
  </si>
  <si>
    <t>Hoofdvestiging</t>
  </si>
  <si>
    <t>2007/08</t>
  </si>
  <si>
    <t>2008/09</t>
  </si>
  <si>
    <t>2009/10</t>
  </si>
  <si>
    <t>2010/11</t>
  </si>
  <si>
    <t>teldatum</t>
  </si>
  <si>
    <t xml:space="preserve">Schoolgewicht </t>
  </si>
  <si>
    <t>nee</t>
  </si>
  <si>
    <t>kalenderjaar</t>
  </si>
  <si>
    <t>Afschrijvingen</t>
  </si>
  <si>
    <t>Huisvestingslasten</t>
  </si>
  <si>
    <t>Overige instellingslasten</t>
  </si>
  <si>
    <t>bij bepalen 'G'</t>
  </si>
  <si>
    <t>groepen</t>
  </si>
  <si>
    <t>toename</t>
  </si>
  <si>
    <t>norm na 6</t>
  </si>
  <si>
    <t>extra na 13</t>
  </si>
  <si>
    <t>g.(1) Onderh., vervang. en vernieuw. meerjaarlijks</t>
  </si>
  <si>
    <t>g.(3) Onderh., vervang. en vernieuw. ICT</t>
  </si>
  <si>
    <t>g.(2) Onderh., vervang. en vernieuw. jaarlijks</t>
  </si>
  <si>
    <t>Directie</t>
  </si>
  <si>
    <t>Budget voor personeels- en arbeidsmarktbeleid</t>
  </si>
  <si>
    <t>e. (1) Overige uitgaven</t>
  </si>
  <si>
    <t>e. (2) tussenschoolse opvang</t>
  </si>
  <si>
    <t xml:space="preserve">Aantal NOAT- leerlingen </t>
  </si>
  <si>
    <t>Aanvullende vergoeding NOAT</t>
  </si>
  <si>
    <t>Gewogen Gemiddelde Leeftijd (1 oktober t-1)</t>
  </si>
  <si>
    <t>extra kleine scholen toeslag hoofdvestiging</t>
  </si>
  <si>
    <t>extra kleine scholen toeslag nevenvestiging 1</t>
  </si>
  <si>
    <t>aantal vestigingen (incl. hoofdvestiging)</t>
  </si>
  <si>
    <t>overgangsregeling lumpsum</t>
  </si>
  <si>
    <t>drempel gewichtenregeling</t>
  </si>
  <si>
    <t xml:space="preserve">totale formatie is tenminste  </t>
  </si>
  <si>
    <t>Leerlingprognose</t>
  </si>
  <si>
    <t>Naam school</t>
  </si>
  <si>
    <t>Brinnummer</t>
  </si>
  <si>
    <t>toeslag management kleine school (y&lt;200 lln)</t>
  </si>
  <si>
    <t>2011/12</t>
  </si>
  <si>
    <t>Personele lasten</t>
  </si>
  <si>
    <t>Financiële baten en lasten</t>
  </si>
  <si>
    <t>Financiële baten</t>
  </si>
  <si>
    <t>Financiële lasten</t>
  </si>
  <si>
    <t>Genormeerd aantal groepen (zonder nevenvestiging)</t>
  </si>
  <si>
    <t>Genormeerd aantal groepen (met nevenvestiging)</t>
  </si>
  <si>
    <t>Genormeerd bruto grondoppervlak (zonder nevenvestiging)</t>
  </si>
  <si>
    <t>Genormeerd bruto grondoppervlak (met nevenvestiging)</t>
  </si>
  <si>
    <t>2012/13</t>
  </si>
  <si>
    <t>beginschooljaar</t>
  </si>
  <si>
    <t>eind schooljaar</t>
  </si>
  <si>
    <t>schoolgewicht</t>
  </si>
  <si>
    <t>KST vast</t>
  </si>
  <si>
    <t>KST aftrek</t>
  </si>
  <si>
    <t>Extra vergoeding (swv zonder sbo) in functie LB</t>
  </si>
  <si>
    <t>positief correctiepercentage</t>
  </si>
  <si>
    <t>negatief correctiepercentage</t>
  </si>
  <si>
    <t>Budget PAB</t>
  </si>
  <si>
    <t>basisbedrag=</t>
  </si>
  <si>
    <t>schoolleiding kleine school =</t>
  </si>
  <si>
    <t>A = leerling</t>
  </si>
  <si>
    <t>B = gewichtsleerling</t>
  </si>
  <si>
    <t>C = KST geld/ vast</t>
  </si>
  <si>
    <t>C = KST geld/ leerling</t>
  </si>
  <si>
    <t>D = ≥70% gew. 0,9 op 1 okt. 2001/ leerling</t>
  </si>
  <si>
    <t>D = ≥70% gew. 0,9 op 1 okt. 2001/ gew ll</t>
  </si>
  <si>
    <t>Budget B&amp;M</t>
  </si>
  <si>
    <t>bedrag per leerling</t>
  </si>
  <si>
    <t>kleinescholentoeslag/ vast</t>
  </si>
  <si>
    <t>kleinescholentoeslag/ leerling</t>
  </si>
  <si>
    <t>3. Publiekrechtelijke heffingen (met uitzondering OZB)</t>
  </si>
  <si>
    <t>e. (3) BGZ</t>
  </si>
  <si>
    <t>totaal leerlingafhankelijk</t>
  </si>
  <si>
    <t>3. NOAT</t>
  </si>
  <si>
    <t>4.SWV zonder sbo: zorgbudget materieel (2% ll.)</t>
  </si>
  <si>
    <t>éénmaling</t>
  </si>
  <si>
    <t>Saldo financiële baten en lasten</t>
  </si>
  <si>
    <t>Saldo baten en lasten</t>
  </si>
  <si>
    <t>Baten</t>
  </si>
  <si>
    <t xml:space="preserve">Lasten </t>
  </si>
  <si>
    <t>Resultaat</t>
  </si>
  <si>
    <t>STAAT VAN BATEN EN LASTEN</t>
  </si>
  <si>
    <t xml:space="preserve">Saldo baten en lasten </t>
  </si>
  <si>
    <t xml:space="preserve">Resultaat </t>
  </si>
  <si>
    <t>Landelijke GGL =</t>
  </si>
  <si>
    <t>OP (landelijk)</t>
  </si>
  <si>
    <t>OP  leeftijdsgecorrigeerd: voet</t>
  </si>
  <si>
    <t>OP  leeftijdsgecorrigeerd: bedrag * GGL</t>
  </si>
  <si>
    <t>Extra toeslag directie</t>
  </si>
  <si>
    <t>Bedrag per gewichtenleerling Impulsgebied</t>
  </si>
  <si>
    <t>Overige overheidsbijdragen en -subsidies</t>
  </si>
  <si>
    <t>School ligt in impulsgebied</t>
  </si>
  <si>
    <t>Aantal gewichtenleerlingen</t>
  </si>
  <si>
    <t>Naam bestuur</t>
  </si>
  <si>
    <t>bestuursnummer</t>
  </si>
  <si>
    <t>nvt</t>
  </si>
  <si>
    <t>2006/07</t>
  </si>
  <si>
    <t>rentabiliteit</t>
  </si>
  <si>
    <t>publicatie</t>
  </si>
  <si>
    <t>Aantal gewichtenleerlingen ikv impulstoeslag</t>
  </si>
  <si>
    <t>correctiepercentage lumpsum werkelijk</t>
  </si>
  <si>
    <t>2013/14</t>
  </si>
  <si>
    <t>-0,17% tov 2009</t>
  </si>
  <si>
    <t>kleine school per aantal leerling</t>
  </si>
  <si>
    <t xml:space="preserve">Overdracht naar bestuur </t>
  </si>
  <si>
    <t>Overdracht van bestuur</t>
  </si>
  <si>
    <t>saldo overdrachten</t>
  </si>
  <si>
    <t>totaal</t>
  </si>
  <si>
    <t>totaal lasten materieel</t>
  </si>
  <si>
    <t>Salarissen en sociale lasten</t>
  </si>
  <si>
    <t>directie</t>
  </si>
  <si>
    <t>onderwijzend personeel</t>
  </si>
  <si>
    <t>onderwijs ondersteunend personeel</t>
  </si>
  <si>
    <t>Lasten personeelsbeleid</t>
  </si>
  <si>
    <t>totaal lasten personeel</t>
  </si>
  <si>
    <t>aanvullende bekostiging schoolleider 1</t>
  </si>
  <si>
    <t>aanvullende bekostiging schoolleider 2</t>
  </si>
  <si>
    <t>stijging GPL -dir</t>
  </si>
  <si>
    <t>groeiregeling</t>
  </si>
  <si>
    <t>EXPLOITATIEBEGROTING</t>
  </si>
  <si>
    <t>Overdracht naar scholen</t>
  </si>
  <si>
    <t>Overdracht van scholen</t>
  </si>
  <si>
    <t>www.poraad.nl</t>
  </si>
  <si>
    <t>2014/15</t>
  </si>
  <si>
    <t>directietoeslag</t>
  </si>
  <si>
    <t>bekostiging groepen bovenbouw</t>
  </si>
  <si>
    <t>bekostiging groepen onderbouw</t>
  </si>
  <si>
    <t>bekostiging bestrijding onderwijs achterstanden</t>
  </si>
  <si>
    <t>nevenvestigingen</t>
  </si>
  <si>
    <t>Personele bekostiging regulier</t>
  </si>
  <si>
    <t>Hoofd- en nevenvestiging</t>
  </si>
  <si>
    <t>Gebouwen en terreinen</t>
  </si>
  <si>
    <t>Inventaris en apparatuur</t>
  </si>
  <si>
    <t>- meubilair</t>
  </si>
  <si>
    <t>- ICT</t>
  </si>
  <si>
    <t>Leermiddelen PO</t>
  </si>
  <si>
    <t>Overige materiële vaste activa</t>
  </si>
  <si>
    <t xml:space="preserve">Salarissen en sociale lasten </t>
  </si>
  <si>
    <t xml:space="preserve">STAAT VAN BATEN EN LASTEN </t>
  </si>
  <si>
    <t>Personele bekostiging</t>
  </si>
  <si>
    <t>slechts invullen indien er sprake is van een officieel erkende nevenvestiging</t>
  </si>
  <si>
    <t xml:space="preserve">Nevenvestiging </t>
  </si>
  <si>
    <t>Groepsafhankelijke bekostiging</t>
  </si>
  <si>
    <t>Leerlingafhankelijke bekostiging</t>
  </si>
  <si>
    <t>Bestuurskantoor</t>
  </si>
  <si>
    <t>2015/16</t>
  </si>
  <si>
    <t>waarvan gewichtsleerling: 0,3</t>
  </si>
  <si>
    <t>waarvan gewichtsleerling: 1,2</t>
  </si>
  <si>
    <t>bekostiging impulsgebieden</t>
  </si>
  <si>
    <t>Rijksbijdrage OCW- materieel (o.b.v. kalenderjaar)</t>
  </si>
  <si>
    <t>Personele lasten (op schooljaar)</t>
  </si>
  <si>
    <t>Huisvestingslasten (o.b.v. kalenderjaar)</t>
  </si>
  <si>
    <t>Overige instellingslasten (o.b.v. kalenderjaar)</t>
  </si>
  <si>
    <t>Afschrijvingen (o.b.v. kalenderjaar)</t>
  </si>
  <si>
    <t>Overige baten (o.b.v. schooljaar)</t>
  </si>
  <si>
    <t>Overige overheidsbijdragen en subsidies (o.b.v. schooljaar)</t>
  </si>
  <si>
    <t>Rijksbijdrage OCW - personeel (o.b.v. schooljaar)</t>
  </si>
  <si>
    <t>Overige subsidies OCW (o.b.v. schooljaar)</t>
  </si>
  <si>
    <t>Minus: Overdrachten bestuur (o.b.v. schooljaar)</t>
  </si>
  <si>
    <t>Rijksbijdrage OCW -personeel (o.b.v. schooljaar)</t>
  </si>
  <si>
    <t>Materiële bekostiging (o.b.v. kalenderjaar)</t>
  </si>
  <si>
    <t>Overdrachten bestuur (o.b.v. schooljaar)</t>
  </si>
  <si>
    <t>Personele lasten (o.b.v. schooljaar)</t>
  </si>
  <si>
    <t xml:space="preserve">Baten en lasten </t>
  </si>
  <si>
    <t>toename t.o.v. 2011</t>
  </si>
  <si>
    <t>toename t.o.v. 2010</t>
  </si>
  <si>
    <t>2016/17</t>
  </si>
  <si>
    <t>prestatiebox (bedrag per school)</t>
  </si>
  <si>
    <t xml:space="preserve">prestatiebox (per 2012)/ bestemmingsbox </t>
  </si>
  <si>
    <t>toename t.o.v. 2012</t>
  </si>
  <si>
    <t>stijging GPL OP (excl. extra toeslag directie DB)</t>
  </si>
  <si>
    <t>prestatiebox (vh. bestemmingsbox) per leerling</t>
  </si>
  <si>
    <t>2017/18</t>
  </si>
  <si>
    <t>OVERZICHT BESTUUR</t>
  </si>
  <si>
    <t>toename t.o.v. 2013</t>
  </si>
  <si>
    <t xml:space="preserve">Totaal baten </t>
  </si>
  <si>
    <t>baten per leerling</t>
  </si>
  <si>
    <t>Overige overheidsbijdr. en subsidies (o.b.v. schooljaar)</t>
  </si>
  <si>
    <t>versie</t>
  </si>
  <si>
    <t>Algemeen</t>
  </si>
  <si>
    <t>Het model is beveiligd met het wachtwoord:</t>
  </si>
  <si>
    <t>poraad</t>
  </si>
  <si>
    <t xml:space="preserve">onder Start/Opmaak/Beveiliging/Blad beveiligen. </t>
  </si>
  <si>
    <t>Desgewenst kunt u het model dus aanpassen, maar kennis van Excel is dan wel vereist.</t>
  </si>
  <si>
    <t>De invoer bij de aangegeven cellen spreekt voor zich. Voor een juiste begroting moeten de witte cellen worden ingevuld.</t>
  </si>
  <si>
    <t xml:space="preserve">In de gele cellen doet het model middels een formule een voorstel (veelal uitgaand van een situatie van krimp noch groei). Deze </t>
  </si>
  <si>
    <t>cellen zijn echter overschrijfbaar / niet beveiligd. De overige cellen zijn beveiligd met een wachtwoord.</t>
  </si>
  <si>
    <t>In het werkblad tabellen (tab) geldt daarentegen dat de gele cellen gewijzigd kunnen worden, de witte niet.</t>
  </si>
  <si>
    <t>Nadere informatie</t>
  </si>
  <si>
    <t xml:space="preserve">Hebt u vragen of opmerkingen, adviezen enzovoorts over dit instrument, dan zijn we daar nieuwsgierig naar: </t>
  </si>
  <si>
    <t>Reinier Goedhart, e-mail:</t>
  </si>
  <si>
    <t>r.goedhart@poraad.nl</t>
  </si>
  <si>
    <t>brin</t>
  </si>
  <si>
    <t>Rijksbijdrage OCW - personeel</t>
  </si>
  <si>
    <t>Personele bekostiging regulier (o.b.v. schooljaar)</t>
  </si>
  <si>
    <t>Bekostiging materiële instandhouding (o.b.v. kalenderjaar)</t>
  </si>
  <si>
    <t>Budget personeels- en arbeidsmarktbeleid (o.b.v. schooljaar)</t>
  </si>
  <si>
    <t>bekostiging bestrijding onderwijsachterstanden</t>
  </si>
  <si>
    <t>vanuit samenwerkingsverband</t>
  </si>
  <si>
    <t xml:space="preserve">prestatiebox </t>
  </si>
  <si>
    <t>2018/19</t>
  </si>
  <si>
    <t>toename t.o.v. 2014</t>
  </si>
  <si>
    <t>TOELICHTING</t>
  </si>
  <si>
    <t>Proefbestuur</t>
  </si>
  <si>
    <t>teldatum leerlingen per 1 oktober</t>
  </si>
  <si>
    <t>Staat van baten en lasten</t>
  </si>
  <si>
    <t>Activa</t>
  </si>
  <si>
    <t>1.1 Immateriële vaste activa</t>
  </si>
  <si>
    <t>1.2 Materiële vaste activa</t>
  </si>
  <si>
    <t>1.3 Financiële vaste activa</t>
  </si>
  <si>
    <t>1.4  Voorraden</t>
  </si>
  <si>
    <t>1.5 Vorderingen</t>
  </si>
  <si>
    <t>1.6 Effecten (&lt; 1jaar)</t>
  </si>
  <si>
    <t xml:space="preserve">1.7 Liquide middelen </t>
  </si>
  <si>
    <t>Passiva</t>
  </si>
  <si>
    <t>2.1 Eigen Vermogen</t>
  </si>
  <si>
    <t>2.2 Voorzieningen</t>
  </si>
  <si>
    <t>2.3 Langlopende schulden</t>
  </si>
  <si>
    <t>2.4 Kortlopende schulden</t>
  </si>
  <si>
    <t>Balans</t>
  </si>
  <si>
    <t>Specifieke informatie voor meerjarenbalans</t>
  </si>
  <si>
    <t>Materiele Vaste Activa per 01-01</t>
  </si>
  <si>
    <t>Investeringen</t>
  </si>
  <si>
    <t>-/- Afschrijvingen</t>
  </si>
  <si>
    <t>stand  per 31-12</t>
  </si>
  <si>
    <t>Stand voorzieningen per 01-01</t>
  </si>
  <si>
    <t>Dotatie voorziening groot onderhoud</t>
  </si>
  <si>
    <t>-/- Onttrekking voorziening groot onderhoud</t>
  </si>
  <si>
    <t>Dotatie voorziening jubilea</t>
  </si>
  <si>
    <t>-/- Onttrekking voorziening jubilea</t>
  </si>
  <si>
    <t>Dotatie voorziening overig</t>
  </si>
  <si>
    <t>-/- Onttrekking voorziening overig</t>
  </si>
  <si>
    <t>KASSTROOMOVERZICHT</t>
  </si>
  <si>
    <t>Saldo liquide middelen 31 dec t-1</t>
  </si>
  <si>
    <t>Kasstroom uit operationele activiteiten</t>
  </si>
  <si>
    <t>Mutaties werkkapitaal</t>
  </si>
  <si>
    <t>voorraden</t>
  </si>
  <si>
    <t>vorderingen</t>
  </si>
  <si>
    <t>effecten</t>
  </si>
  <si>
    <t>kortlopende schulden</t>
  </si>
  <si>
    <t>Mutaties voorzieningen</t>
  </si>
  <si>
    <t>Kasstroom uit investeringsactiviteiten</t>
  </si>
  <si>
    <t>(Des)investeringen materiële vaste activa</t>
  </si>
  <si>
    <t>(Des)investeringen immateriële vaste activa</t>
  </si>
  <si>
    <t>(Des)investeringen financiële vaste activa</t>
  </si>
  <si>
    <t>Kasstroom uit financieringsactiviteiten</t>
  </si>
  <si>
    <t>Mutatie Liquide middelen</t>
  </si>
  <si>
    <t>mutatie Liquide middelen (balans)</t>
  </si>
  <si>
    <t>Eindsaldo liquide middelen</t>
  </si>
  <si>
    <t>liquiditeit (vlottende activa / kortlopende schulden)</t>
  </si>
  <si>
    <t>2019/20</t>
  </si>
  <si>
    <t>toename t.o.v. 2015</t>
  </si>
  <si>
    <t>2020/21</t>
  </si>
  <si>
    <t>De Testschool</t>
  </si>
  <si>
    <t>toename GPL t.o.v. vorig schooljaar</t>
  </si>
  <si>
    <t>toename t.o.v. 2016</t>
  </si>
  <si>
    <t>zie</t>
  </si>
  <si>
    <t xml:space="preserve">zie: </t>
  </si>
  <si>
    <t>https://zoek.officielebekendmakingen.nl/stcrt-2015-33439.html</t>
  </si>
  <si>
    <t>2021/22</t>
  </si>
  <si>
    <t>toename t.o.v. 2017</t>
  </si>
  <si>
    <t>2023/23</t>
  </si>
  <si>
    <t>00AA</t>
  </si>
  <si>
    <r>
      <t xml:space="preserve">In deze applicatie zijn de GPL bedragen verwerkt zoals gepubliceerd  in de </t>
    </r>
    <r>
      <rPr>
        <i/>
        <sz val="10"/>
        <rFont val="Calibri"/>
        <family val="2"/>
      </rPr>
      <t>r</t>
    </r>
    <r>
      <rPr>
        <sz val="10"/>
        <rFont val="Calibri"/>
        <family val="2"/>
      </rPr>
      <t>egeling bekostiging</t>
    </r>
    <r>
      <rPr>
        <b/>
        <sz val="10"/>
        <color rgb="FFC00000"/>
        <rFont val="Calibri"/>
        <family val="2"/>
      </rPr>
      <t xml:space="preserve"> 2017-2018</t>
    </r>
    <r>
      <rPr>
        <sz val="10"/>
        <rFont val="Calibri"/>
        <family val="2"/>
      </rPr>
      <t xml:space="preserve"> d.d. oktober</t>
    </r>
    <r>
      <rPr>
        <b/>
        <sz val="10"/>
        <color rgb="FFC00000"/>
        <rFont val="Calibri"/>
        <family val="2"/>
      </rPr>
      <t xml:space="preserve"> 2017</t>
    </r>
  </si>
  <si>
    <r>
      <t xml:space="preserve">In de bekostiging voor de materiële instandhouding zijn de bedragen van de programma's van eisen van </t>
    </r>
    <r>
      <rPr>
        <b/>
        <sz val="10"/>
        <color rgb="FFC00000"/>
        <rFont val="Calibri"/>
        <family val="2"/>
      </rPr>
      <t xml:space="preserve">2018 </t>
    </r>
    <r>
      <rPr>
        <sz val="10"/>
        <rFont val="Calibri"/>
        <family val="2"/>
      </rPr>
      <t>opgenomen</t>
    </r>
  </si>
  <si>
    <r>
      <t xml:space="preserve">zoals die gepubliceerd zijn in </t>
    </r>
    <r>
      <rPr>
        <b/>
        <sz val="10"/>
        <color rgb="FFC00000"/>
        <rFont val="Calibri"/>
        <family val="2"/>
      </rPr>
      <t xml:space="preserve">september 2017. </t>
    </r>
  </si>
  <si>
    <t>Aanpassing van vs 1 okt 2017:</t>
  </si>
  <si>
    <t xml:space="preserve">   juiste bedrag in het juiste jaar.</t>
  </si>
  <si>
    <t xml:space="preserve"> - In de genummerde werkbladen is de berekening van de materiële vergoeding NOAT (rij 113) aangepast naar het </t>
  </si>
  <si>
    <t>Aanpassing van vs 13 okt 2017:</t>
  </si>
  <si>
    <t xml:space="preserve"> - In het werkblad tabpers is in cel N53 het bedrag € 5.437 vervangen door € 5.473 (kleine scholen toeslag budget PAB).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</si>
</sst>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 &quot;€&quot;\ * #,##0.00_ ;_ &quot;€&quot;\ * \-#,##0.00_ ;_ &quot;€&quot;\ * &quot;-&quot;??_ ;_ @_ "/>
    <numFmt numFmtId="164" formatCode="_-&quot;€&quot;\ * #,##0_-;_-&quot;€&quot;\ * #,##0\-;_-&quot;€&quot;\ * &quot;-&quot;_-;_-@_-"/>
    <numFmt numFmtId="165" formatCode="_-&quot;€&quot;\ * #,##0.00_-;_-&quot;€&quot;\ * #,##0.00\-;_-&quot;€&quot;\ * &quot;-&quot;??_-;_-@_-"/>
    <numFmt numFmtId="166" formatCode="_(&quot;€&quot;\ * #,##0.00_);_(&quot;€&quot;\ * \(#,##0.00\);_(&quot;€&quot;\ * &quot;-&quot;??_);_(@_)"/>
    <numFmt numFmtId="167" formatCode="_-&quot;€&quot;\ * #,##0_-;_-&quot;€&quot;\ * #,##0\-;_-&quot;€&quot;\ * &quot;-&quot;??_-;_-@_-"/>
    <numFmt numFmtId="168" formatCode="0.0000"/>
    <numFmt numFmtId="169" formatCode="dd/mm/yy"/>
    <numFmt numFmtId="170" formatCode="0.000%"/>
    <numFmt numFmtId="171" formatCode="[$-413]d/mmm/yy;@"/>
    <numFmt numFmtId="172" formatCode="0.0%"/>
    <numFmt numFmtId="173" formatCode="#,##0.0_ ;\-#,##0.0\ "/>
  </numFmts>
  <fonts count="80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sz val="14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i/>
      <sz val="10"/>
      <color indexed="56"/>
      <name val="Calibri"/>
      <family val="2"/>
    </font>
    <font>
      <b/>
      <i/>
      <sz val="10"/>
      <color indexed="10"/>
      <name val="Calibri"/>
      <family val="2"/>
    </font>
    <font>
      <sz val="10"/>
      <color indexed="10"/>
      <name val="Calibri"/>
      <family val="2"/>
    </font>
    <font>
      <b/>
      <sz val="10"/>
      <color indexed="10"/>
      <name val="Calibri"/>
      <family val="2"/>
    </font>
    <font>
      <sz val="10"/>
      <color indexed="31"/>
      <name val="Calibri"/>
      <family val="2"/>
    </font>
    <font>
      <b/>
      <sz val="10"/>
      <color indexed="31"/>
      <name val="Calibri"/>
      <family val="2"/>
    </font>
    <font>
      <sz val="8"/>
      <name val="Arial"/>
      <family val="2"/>
    </font>
    <font>
      <sz val="14"/>
      <color rgb="FFC00000"/>
      <name val="Calibri"/>
      <family val="2"/>
    </font>
    <font>
      <b/>
      <sz val="14"/>
      <color rgb="FFC00000"/>
      <name val="Calibri"/>
      <family val="2"/>
    </font>
    <font>
      <sz val="10"/>
      <color rgb="FFC00000"/>
      <name val="Calibri"/>
      <family val="2"/>
    </font>
    <font>
      <i/>
      <sz val="10"/>
      <color rgb="FFC00000"/>
      <name val="Calibri"/>
      <family val="2"/>
    </font>
    <font>
      <b/>
      <i/>
      <sz val="10"/>
      <color rgb="FFC00000"/>
      <name val="Calibri"/>
      <family val="2"/>
    </font>
    <font>
      <b/>
      <sz val="10"/>
      <color rgb="FFC00000"/>
      <name val="Calibri"/>
      <family val="2"/>
    </font>
    <font>
      <sz val="10"/>
      <color rgb="FFC00000"/>
      <name val="Arial"/>
      <family val="2"/>
    </font>
    <font>
      <sz val="10"/>
      <color theme="0"/>
      <name val="Calibri"/>
      <family val="2"/>
    </font>
    <font>
      <b/>
      <sz val="10"/>
      <color rgb="FF0070C0"/>
      <name val="Calibri"/>
      <family val="2"/>
    </font>
    <font>
      <sz val="10"/>
      <color rgb="FF0070C0"/>
      <name val="Calibri"/>
      <family val="2"/>
    </font>
    <font>
      <sz val="10"/>
      <color theme="1"/>
      <name val="Calibri"/>
      <family val="2"/>
    </font>
    <font>
      <i/>
      <sz val="10"/>
      <color theme="0" tint="-0.14999847407452621"/>
      <name val="Calibri"/>
      <family val="2"/>
    </font>
    <font>
      <sz val="10"/>
      <color theme="0" tint="-0.14999847407452621"/>
      <name val="Calibri"/>
      <family val="2"/>
    </font>
    <font>
      <i/>
      <sz val="10"/>
      <color rgb="FF002060"/>
      <name val="Arial"/>
      <family val="2"/>
    </font>
    <font>
      <i/>
      <sz val="10"/>
      <color rgb="FF002060"/>
      <name val="Calibri"/>
      <family val="2"/>
    </font>
    <font>
      <sz val="12"/>
      <name val="Calibri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sz val="10"/>
      <color rgb="FF002060"/>
      <name val="Calibri"/>
      <family val="2"/>
    </font>
    <font>
      <b/>
      <i/>
      <sz val="10"/>
      <color rgb="FF002060"/>
      <name val="Calibri"/>
      <family val="2"/>
    </font>
    <font>
      <b/>
      <sz val="10"/>
      <color rgb="FF002060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4"/>
      <color theme="1"/>
      <name val="Calibri"/>
      <family val="2"/>
    </font>
    <font>
      <i/>
      <sz val="14"/>
      <name val="Calibri"/>
      <family val="2"/>
    </font>
    <font>
      <i/>
      <sz val="12"/>
      <name val="Calibri"/>
      <family val="2"/>
    </font>
    <font>
      <i/>
      <sz val="10"/>
      <color theme="0" tint="-4.9989318521683403E-2"/>
      <name val="Calibri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i/>
      <sz val="10"/>
      <color theme="0" tint="-0.14999847407452621"/>
      <name val="Calibri"/>
      <family val="2"/>
    </font>
    <font>
      <i/>
      <sz val="10"/>
      <color theme="1" tint="0.34998626667073579"/>
      <name val="Calibri"/>
      <family val="2"/>
    </font>
    <font>
      <b/>
      <i/>
      <sz val="10"/>
      <color theme="1" tint="0.34998626667073579"/>
      <name val="Calibri"/>
      <family val="2"/>
    </font>
    <font>
      <b/>
      <sz val="10"/>
      <color theme="1" tint="0.34998626667073579"/>
      <name val="Calibri"/>
      <family val="2"/>
    </font>
    <font>
      <sz val="10"/>
      <color theme="1" tint="0.34998626667073579"/>
      <name val="Calibri"/>
      <family val="2"/>
    </font>
    <font>
      <sz val="14"/>
      <color theme="1" tint="0.34998626667073579"/>
      <name val="Calibri"/>
      <family val="2"/>
    </font>
    <font>
      <sz val="12"/>
      <color theme="1" tint="0.34998626667073579"/>
      <name val="Calibri"/>
      <family val="2"/>
    </font>
    <font>
      <i/>
      <sz val="12"/>
      <color theme="1" tint="0.34998626667073579"/>
      <name val="Calibri"/>
      <family val="2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4"/>
      <color indexed="10"/>
      <name val="Calibri"/>
      <family val="2"/>
    </font>
    <font>
      <b/>
      <sz val="14"/>
      <color indexed="10"/>
      <name val="Calibri"/>
      <family val="2"/>
    </font>
    <font>
      <b/>
      <i/>
      <sz val="14"/>
      <name val="Calibri"/>
      <family val="2"/>
    </font>
    <font>
      <b/>
      <sz val="14"/>
      <name val="Calibri"/>
      <family val="2"/>
    </font>
    <font>
      <i/>
      <sz val="10"/>
      <color theme="1" tint="4.9989318521683403E-2"/>
      <name val="Calibri"/>
      <family val="2"/>
    </font>
    <font>
      <sz val="12"/>
      <color theme="1" tint="0.249977111117893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165" fontId="1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745">
    <xf numFmtId="0" fontId="0" fillId="0" borderId="0" xfId="0"/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Alignment="1">
      <alignment horizontal="left"/>
    </xf>
    <xf numFmtId="169" fontId="4" fillId="2" borderId="0" xfId="0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</xf>
    <xf numFmtId="0" fontId="4" fillId="0" borderId="0" xfId="0" quotePrefix="1" applyFont="1" applyFill="1" applyBorder="1" applyAlignment="1" applyProtection="1">
      <alignment horizontal="left"/>
    </xf>
    <xf numFmtId="165" fontId="4" fillId="0" borderId="0" xfId="0" applyNumberFormat="1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10" fontId="4" fillId="0" borderId="0" xfId="2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165" fontId="4" fillId="0" borderId="0" xfId="0" applyNumberFormat="1" applyFont="1" applyFill="1" applyBorder="1" applyAlignment="1" applyProtection="1"/>
    <xf numFmtId="165" fontId="8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</xf>
    <xf numFmtId="4" fontId="4" fillId="0" borderId="0" xfId="0" applyNumberFormat="1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horizontal="left" vertical="top" wrapText="1"/>
    </xf>
    <xf numFmtId="4" fontId="9" fillId="0" borderId="0" xfId="0" applyNumberFormat="1" applyFont="1" applyFill="1" applyBorder="1" applyAlignment="1" applyProtection="1">
      <alignment horizontal="left" vertical="top" wrapText="1"/>
    </xf>
    <xf numFmtId="4" fontId="4" fillId="0" borderId="0" xfId="0" applyNumberFormat="1" applyFont="1" applyFill="1" applyBorder="1" applyAlignment="1" applyProtection="1">
      <alignment horizontal="left" vertical="top" wrapText="1"/>
    </xf>
    <xf numFmtId="3" fontId="4" fillId="0" borderId="0" xfId="0" applyNumberFormat="1" applyFont="1" applyFill="1" applyBorder="1" applyAlignment="1" applyProtection="1">
      <alignment horizontal="left"/>
      <protection locked="0"/>
    </xf>
    <xf numFmtId="2" fontId="4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Font="1" applyFill="1" applyAlignment="1" applyProtection="1">
      <alignment horizontal="left"/>
    </xf>
    <xf numFmtId="10" fontId="4" fillId="0" borderId="0" xfId="0" applyNumberFormat="1" applyFont="1" applyFill="1" applyAlignment="1" applyProtection="1">
      <alignment horizontal="left"/>
      <protection locked="0"/>
    </xf>
    <xf numFmtId="168" fontId="4" fillId="0" borderId="0" xfId="0" applyNumberFormat="1" applyFont="1" applyFill="1" applyAlignment="1" applyProtection="1">
      <alignment horizontal="left"/>
    </xf>
    <xf numFmtId="165" fontId="4" fillId="0" borderId="0" xfId="0" applyNumberFormat="1" applyFont="1" applyFill="1" applyBorder="1" applyProtection="1"/>
    <xf numFmtId="0" fontId="4" fillId="0" borderId="0" xfId="0" applyNumberFormat="1" applyFont="1" applyFill="1" applyBorder="1" applyProtection="1">
      <protection locked="0"/>
    </xf>
    <xf numFmtId="165" fontId="4" fillId="0" borderId="0" xfId="4" applyFont="1" applyFill="1" applyBorder="1" applyAlignment="1" applyProtection="1">
      <alignment horizontal="center"/>
    </xf>
    <xf numFmtId="0" fontId="5" fillId="0" borderId="0" xfId="0" quotePrefix="1" applyFont="1" applyFill="1" applyAlignment="1">
      <alignment horizontal="left"/>
    </xf>
    <xf numFmtId="165" fontId="4" fillId="0" borderId="0" xfId="0" applyNumberFormat="1" applyFont="1" applyFill="1" applyAlignment="1">
      <alignment horizontal="left"/>
    </xf>
    <xf numFmtId="165" fontId="4" fillId="0" borderId="0" xfId="1" applyFont="1" applyFill="1" applyAlignment="1">
      <alignment horizontal="left"/>
    </xf>
    <xf numFmtId="0" fontId="17" fillId="0" borderId="0" xfId="0" applyFont="1" applyFill="1" applyBorder="1" applyAlignment="1" applyProtection="1">
      <alignment horizontal="left"/>
    </xf>
    <xf numFmtId="0" fontId="17" fillId="0" borderId="0" xfId="0" applyFont="1" applyFill="1" applyAlignment="1">
      <alignment horizontal="left"/>
    </xf>
    <xf numFmtId="17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10" fontId="5" fillId="0" borderId="0" xfId="2" applyNumberFormat="1" applyFont="1" applyFill="1" applyAlignment="1">
      <alignment horizontal="left"/>
    </xf>
    <xf numFmtId="170" fontId="5" fillId="0" borderId="0" xfId="2" applyNumberFormat="1" applyFont="1" applyFill="1" applyAlignment="1">
      <alignment horizontal="left"/>
    </xf>
    <xf numFmtId="0" fontId="4" fillId="0" borderId="0" xfId="0" applyFont="1" applyFill="1" applyAlignment="1">
      <alignment horizontal="center"/>
    </xf>
    <xf numFmtId="167" fontId="4" fillId="0" borderId="0" xfId="0" applyNumberFormat="1" applyFont="1" applyFill="1" applyBorder="1" applyProtection="1">
      <protection locked="0"/>
    </xf>
    <xf numFmtId="9" fontId="4" fillId="0" borderId="0" xfId="0" applyNumberFormat="1" applyFont="1" applyFill="1" applyAlignment="1">
      <alignment horizontal="left"/>
    </xf>
    <xf numFmtId="10" fontId="4" fillId="0" borderId="0" xfId="0" applyNumberFormat="1" applyFont="1" applyFill="1" applyBorder="1" applyAlignment="1" applyProtection="1">
      <alignment horizontal="center"/>
    </xf>
    <xf numFmtId="4" fontId="10" fillId="0" borderId="0" xfId="0" applyNumberFormat="1" applyFont="1"/>
    <xf numFmtId="0" fontId="10" fillId="0" borderId="0" xfId="0" applyFont="1"/>
    <xf numFmtId="0" fontId="4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4" fontId="4" fillId="0" borderId="0" xfId="0" applyNumberFormat="1" applyFont="1" applyFill="1" applyBorder="1" applyAlignment="1" applyProtection="1">
      <alignment horizontal="left" vertical="top" wrapText="1"/>
      <protection locked="0"/>
    </xf>
    <xf numFmtId="4" fontId="4" fillId="0" borderId="0" xfId="0" applyNumberFormat="1" applyFont="1" applyFill="1" applyBorder="1" applyAlignment="1" applyProtection="1">
      <alignment horizontal="left" vertical="top"/>
    </xf>
    <xf numFmtId="4" fontId="4" fillId="0" borderId="0" xfId="0" applyNumberFormat="1" applyFont="1" applyFill="1" applyBorder="1" applyAlignment="1" applyProtection="1">
      <alignment horizontal="left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Font="1" applyFill="1" applyAlignment="1" applyProtection="1">
      <alignment horizontal="left"/>
      <protection locked="0"/>
    </xf>
    <xf numFmtId="10" fontId="4" fillId="0" borderId="0" xfId="0" applyNumberFormat="1" applyFont="1" applyFill="1" applyAlignment="1" applyProtection="1">
      <alignment horizontal="left"/>
    </xf>
    <xf numFmtId="0" fontId="4" fillId="0" borderId="0" xfId="0" applyFont="1" applyFill="1" applyAlignment="1" applyProtection="1">
      <alignment horizontal="left"/>
      <protection locked="0"/>
    </xf>
    <xf numFmtId="165" fontId="4" fillId="0" borderId="0" xfId="0" applyNumberFormat="1" applyFont="1" applyFill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5" fontId="8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center"/>
    </xf>
    <xf numFmtId="0" fontId="4" fillId="3" borderId="0" xfId="0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20" fillId="3" borderId="0" xfId="0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1" fontId="4" fillId="3" borderId="0" xfId="0" applyNumberFormat="1" applyFont="1" applyFill="1" applyBorder="1" applyAlignment="1" applyProtection="1">
      <alignment horizontal="center"/>
    </xf>
    <xf numFmtId="0" fontId="8" fillId="3" borderId="0" xfId="0" applyFont="1" applyFill="1" applyBorder="1" applyProtection="1"/>
    <xf numFmtId="0" fontId="5" fillId="3" borderId="0" xfId="0" applyFont="1" applyFill="1" applyBorder="1" applyProtection="1"/>
    <xf numFmtId="0" fontId="12" fillId="3" borderId="0" xfId="0" applyFont="1" applyFill="1" applyBorder="1" applyProtection="1"/>
    <xf numFmtId="0" fontId="13" fillId="3" borderId="0" xfId="0" applyFont="1" applyFill="1" applyBorder="1" applyProtection="1"/>
    <xf numFmtId="164" fontId="5" fillId="3" borderId="0" xfId="0" applyNumberFormat="1" applyFont="1" applyFill="1" applyBorder="1" applyAlignment="1" applyProtection="1">
      <alignment horizontal="center"/>
    </xf>
    <xf numFmtId="164" fontId="4" fillId="3" borderId="0" xfId="0" applyNumberFormat="1" applyFont="1" applyFill="1" applyBorder="1" applyAlignment="1" applyProtection="1">
      <alignment horizontal="center"/>
    </xf>
    <xf numFmtId="0" fontId="4" fillId="4" borderId="1" xfId="0" applyFont="1" applyFill="1" applyBorder="1" applyProtection="1"/>
    <xf numFmtId="0" fontId="4" fillId="4" borderId="2" xfId="0" applyFont="1" applyFill="1" applyBorder="1" applyProtection="1"/>
    <xf numFmtId="0" fontId="5" fillId="4" borderId="2" xfId="0" applyFont="1" applyFill="1" applyBorder="1" applyAlignment="1" applyProtection="1">
      <alignment horizontal="right"/>
    </xf>
    <xf numFmtId="0" fontId="6" fillId="4" borderId="2" xfId="0" applyFont="1" applyFill="1" applyBorder="1" applyAlignment="1" applyProtection="1">
      <alignment horizontal="center"/>
    </xf>
    <xf numFmtId="0" fontId="4" fillId="4" borderId="3" xfId="0" applyFont="1" applyFill="1" applyBorder="1" applyProtection="1"/>
    <xf numFmtId="0" fontId="4" fillId="4" borderId="4" xfId="0" applyFont="1" applyFill="1" applyBorder="1" applyProtection="1"/>
    <xf numFmtId="0" fontId="4" fillId="4" borderId="0" xfId="0" applyFont="1" applyFill="1" applyBorder="1" applyProtection="1"/>
    <xf numFmtId="0" fontId="5" fillId="4" borderId="0" xfId="0" applyFont="1" applyFill="1" applyBorder="1" applyAlignment="1" applyProtection="1">
      <alignment horizontal="right"/>
    </xf>
    <xf numFmtId="0" fontId="6" fillId="4" borderId="0" xfId="0" applyFont="1" applyFill="1" applyBorder="1" applyAlignment="1" applyProtection="1">
      <alignment horizontal="center"/>
    </xf>
    <xf numFmtId="0" fontId="4" fillId="4" borderId="5" xfId="0" applyFont="1" applyFill="1" applyBorder="1" applyProtection="1"/>
    <xf numFmtId="0" fontId="4" fillId="4" borderId="0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center"/>
    </xf>
    <xf numFmtId="0" fontId="19" fillId="4" borderId="0" xfId="0" applyFont="1" applyFill="1" applyBorder="1" applyProtection="1"/>
    <xf numFmtId="0" fontId="19" fillId="4" borderId="5" xfId="0" applyFont="1" applyFill="1" applyBorder="1" applyProtection="1"/>
    <xf numFmtId="0" fontId="8" fillId="4" borderId="0" xfId="0" applyFont="1" applyFill="1" applyBorder="1" applyAlignment="1" applyProtection="1">
      <alignment horizontal="left"/>
    </xf>
    <xf numFmtId="0" fontId="5" fillId="4" borderId="0" xfId="0" applyFont="1" applyFill="1" applyBorder="1" applyAlignment="1" applyProtection="1">
      <alignment horizontal="left"/>
    </xf>
    <xf numFmtId="0" fontId="8" fillId="4" borderId="4" xfId="0" applyFont="1" applyFill="1" applyBorder="1" applyProtection="1"/>
    <xf numFmtId="0" fontId="8" fillId="4" borderId="5" xfId="0" applyFont="1" applyFill="1" applyBorder="1" applyProtection="1"/>
    <xf numFmtId="0" fontId="5" fillId="4" borderId="4" xfId="0" applyFont="1" applyFill="1" applyBorder="1" applyProtection="1"/>
    <xf numFmtId="0" fontId="5" fillId="4" borderId="0" xfId="0" applyFont="1" applyFill="1" applyBorder="1" applyProtection="1"/>
    <xf numFmtId="0" fontId="5" fillId="4" borderId="5" xfId="0" applyFont="1" applyFill="1" applyBorder="1" applyProtection="1"/>
    <xf numFmtId="0" fontId="12" fillId="4" borderId="0" xfId="0" applyFont="1" applyFill="1" applyBorder="1" applyProtection="1"/>
    <xf numFmtId="0" fontId="5" fillId="4" borderId="0" xfId="0" applyFont="1" applyFill="1" applyBorder="1" applyAlignment="1" applyProtection="1">
      <alignment horizontal="center"/>
    </xf>
    <xf numFmtId="0" fontId="4" fillId="4" borderId="6" xfId="0" applyFont="1" applyFill="1" applyBorder="1" applyProtection="1"/>
    <xf numFmtId="0" fontId="4" fillId="4" borderId="7" xfId="0" applyFont="1" applyFill="1" applyBorder="1" applyProtection="1"/>
    <xf numFmtId="0" fontId="4" fillId="4" borderId="8" xfId="0" applyFont="1" applyFill="1" applyBorder="1" applyProtection="1"/>
    <xf numFmtId="0" fontId="4" fillId="4" borderId="2" xfId="0" applyFont="1" applyFill="1" applyBorder="1" applyAlignment="1" applyProtection="1">
      <alignment horizontal="center"/>
    </xf>
    <xf numFmtId="0" fontId="7" fillId="4" borderId="0" xfId="0" applyFont="1" applyFill="1" applyBorder="1" applyProtection="1"/>
    <xf numFmtId="0" fontId="7" fillId="4" borderId="0" xfId="0" applyFont="1" applyFill="1" applyBorder="1" applyAlignment="1" applyProtection="1">
      <alignment horizontal="left"/>
    </xf>
    <xf numFmtId="0" fontId="19" fillId="4" borderId="0" xfId="0" applyFont="1" applyFill="1" applyBorder="1" applyAlignment="1" applyProtection="1">
      <alignment horizontal="center"/>
    </xf>
    <xf numFmtId="0" fontId="13" fillId="4" borderId="0" xfId="0" applyFont="1" applyFill="1" applyBorder="1" applyProtection="1"/>
    <xf numFmtId="0" fontId="4" fillId="4" borderId="7" xfId="0" applyFont="1" applyFill="1" applyBorder="1" applyAlignment="1" applyProtection="1">
      <alignment horizontal="left"/>
    </xf>
    <xf numFmtId="167" fontId="4" fillId="4" borderId="0" xfId="4" applyNumberFormat="1" applyFont="1" applyFill="1" applyBorder="1" applyAlignment="1" applyProtection="1">
      <alignment horizontal="left"/>
    </xf>
    <xf numFmtId="164" fontId="4" fillId="4" borderId="0" xfId="0" applyNumberFormat="1" applyFont="1" applyFill="1" applyBorder="1" applyAlignment="1" applyProtection="1">
      <alignment horizontal="center"/>
      <protection locked="0"/>
    </xf>
    <xf numFmtId="164" fontId="4" fillId="4" borderId="0" xfId="1" applyNumberFormat="1" applyFont="1" applyFill="1" applyBorder="1" applyProtection="1"/>
    <xf numFmtId="0" fontId="4" fillId="4" borderId="2" xfId="0" applyFont="1" applyFill="1" applyBorder="1" applyAlignment="1" applyProtection="1">
      <alignment horizontal="left"/>
    </xf>
    <xf numFmtId="0" fontId="20" fillId="4" borderId="4" xfId="0" applyFont="1" applyFill="1" applyBorder="1" applyProtection="1"/>
    <xf numFmtId="0" fontId="20" fillId="4" borderId="5" xfId="0" applyFont="1" applyFill="1" applyBorder="1" applyProtection="1"/>
    <xf numFmtId="0" fontId="5" fillId="4" borderId="2" xfId="0" applyFont="1" applyFill="1" applyBorder="1" applyProtection="1"/>
    <xf numFmtId="167" fontId="4" fillId="4" borderId="2" xfId="4" applyNumberFormat="1" applyFont="1" applyFill="1" applyBorder="1" applyAlignment="1" applyProtection="1">
      <alignment horizontal="left"/>
    </xf>
    <xf numFmtId="164" fontId="5" fillId="4" borderId="0" xfId="0" applyNumberFormat="1" applyFont="1" applyFill="1" applyBorder="1" applyAlignment="1" applyProtection="1">
      <alignment horizontal="center"/>
    </xf>
    <xf numFmtId="164" fontId="4" fillId="4" borderId="0" xfId="0" applyNumberFormat="1" applyFont="1" applyFill="1" applyBorder="1" applyAlignment="1" applyProtection="1">
      <alignment horizontal="center"/>
    </xf>
    <xf numFmtId="0" fontId="25" fillId="4" borderId="0" xfId="0" applyFont="1" applyFill="1" applyBorder="1" applyProtection="1"/>
    <xf numFmtId="0" fontId="24" fillId="4" borderId="0" xfId="0" applyFont="1" applyFill="1" applyBorder="1" applyProtection="1"/>
    <xf numFmtId="0" fontId="26" fillId="4" borderId="4" xfId="0" applyFont="1" applyFill="1" applyBorder="1" applyProtection="1"/>
    <xf numFmtId="0" fontId="26" fillId="4" borderId="0" xfId="0" applyFont="1" applyFill="1" applyBorder="1" applyProtection="1"/>
    <xf numFmtId="0" fontId="26" fillId="4" borderId="5" xfId="0" applyFont="1" applyFill="1" applyBorder="1" applyProtection="1"/>
    <xf numFmtId="0" fontId="26" fillId="3" borderId="0" xfId="0" applyFont="1" applyFill="1" applyBorder="1" applyProtection="1"/>
    <xf numFmtId="0" fontId="4" fillId="3" borderId="9" xfId="0" applyFont="1" applyFill="1" applyBorder="1" applyProtection="1"/>
    <xf numFmtId="0" fontId="4" fillId="3" borderId="10" xfId="0" applyFont="1" applyFill="1" applyBorder="1" applyProtection="1"/>
    <xf numFmtId="0" fontId="6" fillId="3" borderId="10" xfId="0" applyFont="1" applyFill="1" applyBorder="1" applyAlignment="1" applyProtection="1">
      <alignment horizontal="center"/>
    </xf>
    <xf numFmtId="0" fontId="6" fillId="3" borderId="11" xfId="0" applyFont="1" applyFill="1" applyBorder="1" applyAlignment="1" applyProtection="1">
      <alignment horizontal="center"/>
    </xf>
    <xf numFmtId="0" fontId="4" fillId="3" borderId="12" xfId="0" applyFont="1" applyFill="1" applyBorder="1" applyProtection="1"/>
    <xf numFmtId="0" fontId="4" fillId="3" borderId="13" xfId="0" applyFont="1" applyFill="1" applyBorder="1" applyAlignment="1" applyProtection="1">
      <alignment horizontal="left"/>
    </xf>
    <xf numFmtId="0" fontId="4" fillId="3" borderId="13" xfId="0" applyFont="1" applyFill="1" applyBorder="1" applyProtection="1"/>
    <xf numFmtId="0" fontId="4" fillId="3" borderId="13" xfId="0" applyFont="1" applyFill="1" applyBorder="1" applyAlignment="1" applyProtection="1">
      <alignment horizontal="center"/>
    </xf>
    <xf numFmtId="0" fontId="6" fillId="3" borderId="14" xfId="0" applyFont="1" applyFill="1" applyBorder="1" applyAlignment="1" applyProtection="1">
      <alignment horizontal="center"/>
    </xf>
    <xf numFmtId="0" fontId="6" fillId="3" borderId="13" xfId="0" applyFont="1" applyFill="1" applyBorder="1" applyAlignment="1" applyProtection="1">
      <alignment horizontal="center"/>
    </xf>
    <xf numFmtId="0" fontId="4" fillId="3" borderId="14" xfId="0" applyFont="1" applyFill="1" applyBorder="1" applyProtection="1"/>
    <xf numFmtId="0" fontId="4" fillId="3" borderId="13" xfId="0" applyNumberFormat="1" applyFont="1" applyFill="1" applyBorder="1" applyProtection="1"/>
    <xf numFmtId="2" fontId="4" fillId="3" borderId="14" xfId="0" applyNumberFormat="1" applyFont="1" applyFill="1" applyBorder="1" applyAlignment="1" applyProtection="1">
      <alignment horizontal="center"/>
    </xf>
    <xf numFmtId="2" fontId="4" fillId="3" borderId="13" xfId="0" applyNumberFormat="1" applyFont="1" applyFill="1" applyBorder="1" applyAlignment="1" applyProtection="1">
      <alignment horizontal="center"/>
    </xf>
    <xf numFmtId="0" fontId="4" fillId="3" borderId="14" xfId="0" applyFont="1" applyFill="1" applyBorder="1" applyAlignment="1" applyProtection="1">
      <alignment horizontal="center"/>
    </xf>
    <xf numFmtId="0" fontId="8" fillId="3" borderId="13" xfId="0" applyFont="1" applyFill="1" applyBorder="1" applyAlignment="1" applyProtection="1">
      <alignment horizontal="left"/>
    </xf>
    <xf numFmtId="0" fontId="8" fillId="3" borderId="13" xfId="0" applyFont="1" applyFill="1" applyBorder="1" applyAlignment="1" applyProtection="1">
      <alignment horizontal="center"/>
    </xf>
    <xf numFmtId="0" fontId="8" fillId="3" borderId="14" xfId="0" applyFont="1" applyFill="1" applyBorder="1" applyAlignment="1" applyProtection="1">
      <alignment horizontal="center"/>
    </xf>
    <xf numFmtId="0" fontId="5" fillId="3" borderId="13" xfId="0" applyFont="1" applyFill="1" applyBorder="1" applyAlignment="1" applyProtection="1">
      <alignment horizontal="left"/>
    </xf>
    <xf numFmtId="2" fontId="5" fillId="3" borderId="13" xfId="0" applyNumberFormat="1" applyFont="1" applyFill="1" applyBorder="1" applyAlignment="1" applyProtection="1">
      <alignment horizontal="center"/>
    </xf>
    <xf numFmtId="0" fontId="8" fillId="3" borderId="12" xfId="0" applyFont="1" applyFill="1" applyBorder="1" applyProtection="1"/>
    <xf numFmtId="0" fontId="5" fillId="3" borderId="12" xfId="0" applyFont="1" applyFill="1" applyBorder="1" applyProtection="1"/>
    <xf numFmtId="0" fontId="8" fillId="3" borderId="13" xfId="0" applyFont="1" applyFill="1" applyBorder="1" applyProtection="1"/>
    <xf numFmtId="0" fontId="12" fillId="3" borderId="13" xfId="0" applyFont="1" applyFill="1" applyBorder="1" applyProtection="1"/>
    <xf numFmtId="0" fontId="8" fillId="3" borderId="13" xfId="0" quotePrefix="1" applyFont="1" applyFill="1" applyBorder="1" applyAlignment="1" applyProtection="1">
      <alignment horizontal="left"/>
    </xf>
    <xf numFmtId="0" fontId="8" fillId="3" borderId="13" xfId="0" applyFont="1" applyFill="1" applyBorder="1" applyProtection="1">
      <protection locked="0"/>
    </xf>
    <xf numFmtId="0" fontId="5" fillId="3" borderId="13" xfId="0" applyFont="1" applyFill="1" applyBorder="1" applyAlignment="1" applyProtection="1">
      <alignment horizontal="left" indent="1"/>
    </xf>
    <xf numFmtId="0" fontId="5" fillId="3" borderId="13" xfId="0" applyNumberFormat="1" applyFont="1" applyFill="1" applyBorder="1" applyAlignment="1" applyProtection="1">
      <alignment horizontal="center"/>
    </xf>
    <xf numFmtId="0" fontId="5" fillId="3" borderId="14" xfId="0" applyFont="1" applyFill="1" applyBorder="1" applyProtection="1"/>
    <xf numFmtId="0" fontId="4" fillId="3" borderId="15" xfId="0" applyFont="1" applyFill="1" applyBorder="1" applyProtection="1"/>
    <xf numFmtId="0" fontId="4" fillId="3" borderId="16" xfId="0" applyFont="1" applyFill="1" applyBorder="1" applyAlignment="1" applyProtection="1">
      <alignment horizontal="left"/>
    </xf>
    <xf numFmtId="0" fontId="4" fillId="3" borderId="17" xfId="0" applyFont="1" applyFill="1" applyBorder="1" applyProtection="1"/>
    <xf numFmtId="0" fontId="4" fillId="3" borderId="10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center"/>
    </xf>
    <xf numFmtId="0" fontId="4" fillId="3" borderId="11" xfId="0" applyFont="1" applyFill="1" applyBorder="1" applyProtection="1"/>
    <xf numFmtId="164" fontId="4" fillId="3" borderId="13" xfId="0" applyNumberFormat="1" applyFont="1" applyFill="1" applyBorder="1" applyAlignment="1" applyProtection="1">
      <alignment horizontal="center"/>
    </xf>
    <xf numFmtId="164" fontId="4" fillId="3" borderId="14" xfId="0" applyNumberFormat="1" applyFont="1" applyFill="1" applyBorder="1" applyAlignment="1" applyProtection="1">
      <alignment horizontal="right"/>
    </xf>
    <xf numFmtId="0" fontId="6" fillId="3" borderId="12" xfId="0" applyFont="1" applyFill="1" applyBorder="1" applyProtection="1"/>
    <xf numFmtId="0" fontId="5" fillId="3" borderId="13" xfId="0" applyFont="1" applyFill="1" applyBorder="1" applyProtection="1"/>
    <xf numFmtId="164" fontId="6" fillId="3" borderId="14" xfId="0" applyNumberFormat="1" applyFont="1" applyFill="1" applyBorder="1" applyAlignment="1" applyProtection="1">
      <alignment horizontal="right"/>
    </xf>
    <xf numFmtId="164" fontId="4" fillId="3" borderId="14" xfId="0" applyNumberFormat="1" applyFont="1" applyFill="1" applyBorder="1" applyAlignment="1" applyProtection="1">
      <alignment horizontal="center"/>
    </xf>
    <xf numFmtId="0" fontId="6" fillId="3" borderId="13" xfId="0" applyFont="1" applyFill="1" applyBorder="1" applyProtection="1"/>
    <xf numFmtId="0" fontId="5" fillId="3" borderId="13" xfId="0" applyFont="1" applyFill="1" applyBorder="1" applyAlignment="1" applyProtection="1">
      <alignment horizontal="left" indent="2"/>
    </xf>
    <xf numFmtId="164" fontId="5" fillId="3" borderId="13" xfId="0" applyNumberFormat="1" applyFont="1" applyFill="1" applyBorder="1" applyAlignment="1" applyProtection="1">
      <alignment horizontal="center"/>
    </xf>
    <xf numFmtId="0" fontId="6" fillId="3" borderId="13" xfId="0" applyFont="1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/>
    </xf>
    <xf numFmtId="0" fontId="4" fillId="3" borderId="13" xfId="0" quotePrefix="1" applyFont="1" applyFill="1" applyBorder="1" applyAlignment="1" applyProtection="1">
      <alignment horizontal="left"/>
    </xf>
    <xf numFmtId="0" fontId="8" fillId="3" borderId="14" xfId="0" applyFont="1" applyFill="1" applyBorder="1" applyProtection="1"/>
    <xf numFmtId="0" fontId="13" fillId="3" borderId="12" xfId="0" applyFont="1" applyFill="1" applyBorder="1" applyProtection="1"/>
    <xf numFmtId="0" fontId="13" fillId="3" borderId="13" xfId="0" applyFont="1" applyFill="1" applyBorder="1" applyAlignment="1" applyProtection="1">
      <alignment horizontal="left"/>
    </xf>
    <xf numFmtId="0" fontId="4" fillId="3" borderId="13" xfId="0" applyFont="1" applyFill="1" applyBorder="1" applyAlignment="1" applyProtection="1">
      <alignment horizontal="left"/>
      <protection locked="0"/>
    </xf>
    <xf numFmtId="164" fontId="4" fillId="3" borderId="13" xfId="1" applyNumberFormat="1" applyFont="1" applyFill="1" applyBorder="1" applyProtection="1"/>
    <xf numFmtId="0" fontId="6" fillId="3" borderId="13" xfId="0" quotePrefix="1" applyFont="1" applyFill="1" applyBorder="1" applyAlignment="1" applyProtection="1">
      <alignment horizontal="left"/>
    </xf>
    <xf numFmtId="0" fontId="14" fillId="3" borderId="13" xfId="0" quotePrefix="1" applyFont="1" applyFill="1" applyBorder="1" applyProtection="1"/>
    <xf numFmtId="0" fontId="14" fillId="3" borderId="13" xfId="0" applyFont="1" applyFill="1" applyBorder="1" applyProtection="1"/>
    <xf numFmtId="0" fontId="13" fillId="3" borderId="13" xfId="0" applyFont="1" applyFill="1" applyBorder="1" applyProtection="1"/>
    <xf numFmtId="0" fontId="12" fillId="3" borderId="12" xfId="0" applyFont="1" applyFill="1" applyBorder="1" applyProtection="1"/>
    <xf numFmtId="0" fontId="12" fillId="3" borderId="15" xfId="0" applyFont="1" applyFill="1" applyBorder="1" applyProtection="1"/>
    <xf numFmtId="0" fontId="4" fillId="3" borderId="16" xfId="0" applyFont="1" applyFill="1" applyBorder="1" applyProtection="1"/>
    <xf numFmtId="0" fontId="4" fillId="3" borderId="13" xfId="0" applyNumberFormat="1" applyFont="1" applyFill="1" applyBorder="1" applyAlignment="1" applyProtection="1">
      <alignment horizontal="left"/>
    </xf>
    <xf numFmtId="0" fontId="12" fillId="3" borderId="13" xfId="0" applyNumberFormat="1" applyFont="1" applyFill="1" applyBorder="1" applyAlignment="1" applyProtection="1">
      <alignment horizontal="left" indent="1"/>
    </xf>
    <xf numFmtId="0" fontId="6" fillId="3" borderId="13" xfId="0" applyNumberFormat="1" applyFont="1" applyFill="1" applyBorder="1" applyAlignment="1" applyProtection="1">
      <alignment horizontal="left"/>
    </xf>
    <xf numFmtId="167" fontId="4" fillId="3" borderId="13" xfId="4" applyNumberFormat="1" applyFont="1" applyFill="1" applyBorder="1" applyAlignment="1" applyProtection="1">
      <alignment horizontal="left"/>
    </xf>
    <xf numFmtId="164" fontId="4" fillId="3" borderId="13" xfId="0" applyNumberFormat="1" applyFont="1" applyFill="1" applyBorder="1" applyAlignment="1" applyProtection="1">
      <alignment horizontal="center"/>
      <protection locked="0"/>
    </xf>
    <xf numFmtId="0" fontId="8" fillId="3" borderId="16" xfId="0" applyFont="1" applyFill="1" applyBorder="1" applyProtection="1"/>
    <xf numFmtId="164" fontId="4" fillId="3" borderId="16" xfId="1" applyNumberFormat="1" applyFont="1" applyFill="1" applyBorder="1" applyProtection="1"/>
    <xf numFmtId="0" fontId="8" fillId="3" borderId="10" xfId="0" applyFont="1" applyFill="1" applyBorder="1" applyProtection="1"/>
    <xf numFmtId="164" fontId="4" fillId="3" borderId="10" xfId="0" applyNumberFormat="1" applyFont="1" applyFill="1" applyBorder="1" applyAlignment="1" applyProtection="1">
      <alignment horizontal="center"/>
      <protection locked="0"/>
    </xf>
    <xf numFmtId="164" fontId="4" fillId="3" borderId="10" xfId="1" applyNumberFormat="1" applyFont="1" applyFill="1" applyBorder="1" applyProtection="1"/>
    <xf numFmtId="167" fontId="8" fillId="3" borderId="13" xfId="4" applyNumberFormat="1" applyFont="1" applyFill="1" applyBorder="1" applyAlignment="1" applyProtection="1">
      <alignment horizontal="left"/>
    </xf>
    <xf numFmtId="164" fontId="4" fillId="3" borderId="13" xfId="0" applyNumberFormat="1" applyFont="1" applyFill="1" applyBorder="1" applyAlignment="1" applyProtection="1">
      <alignment horizontal="left"/>
      <protection locked="0"/>
    </xf>
    <xf numFmtId="0" fontId="8" fillId="3" borderId="13" xfId="0" applyNumberFormat="1" applyFont="1" applyFill="1" applyBorder="1" applyAlignment="1" applyProtection="1">
      <alignment horizontal="left"/>
    </xf>
    <xf numFmtId="0" fontId="5" fillId="3" borderId="15" xfId="0" applyFont="1" applyFill="1" applyBorder="1" applyProtection="1"/>
    <xf numFmtId="167" fontId="4" fillId="3" borderId="16" xfId="4" applyNumberFormat="1" applyFont="1" applyFill="1" applyBorder="1" applyAlignment="1" applyProtection="1">
      <alignment horizontal="left"/>
    </xf>
    <xf numFmtId="0" fontId="5" fillId="3" borderId="9" xfId="0" applyFont="1" applyFill="1" applyBorder="1" applyProtection="1"/>
    <xf numFmtId="167" fontId="4" fillId="3" borderId="10" xfId="4" applyNumberFormat="1" applyFont="1" applyFill="1" applyBorder="1" applyAlignment="1" applyProtection="1">
      <alignment horizontal="left"/>
    </xf>
    <xf numFmtId="164" fontId="8" fillId="3" borderId="13" xfId="0" applyNumberFormat="1" applyFont="1" applyFill="1" applyBorder="1" applyAlignment="1" applyProtection="1">
      <alignment horizontal="center"/>
    </xf>
    <xf numFmtId="0" fontId="8" fillId="3" borderId="1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left"/>
    </xf>
    <xf numFmtId="0" fontId="5" fillId="3" borderId="16" xfId="0" applyFont="1" applyFill="1" applyBorder="1" applyProtection="1"/>
    <xf numFmtId="164" fontId="5" fillId="3" borderId="16" xfId="0" applyNumberFormat="1" applyFont="1" applyFill="1" applyBorder="1" applyAlignment="1" applyProtection="1">
      <alignment horizontal="center"/>
    </xf>
    <xf numFmtId="164" fontId="4" fillId="4" borderId="13" xfId="1" applyNumberFormat="1" applyFont="1" applyFill="1" applyBorder="1" applyProtection="1"/>
    <xf numFmtId="0" fontId="26" fillId="3" borderId="10" xfId="0" applyFont="1" applyFill="1" applyBorder="1" applyProtection="1"/>
    <xf numFmtId="164" fontId="4" fillId="4" borderId="13" xfId="0" applyNumberFormat="1" applyFont="1" applyFill="1" applyBorder="1" applyAlignment="1" applyProtection="1">
      <alignment horizontal="center"/>
      <protection locked="0"/>
    </xf>
    <xf numFmtId="0" fontId="5" fillId="3" borderId="10" xfId="0" applyFont="1" applyFill="1" applyBorder="1" applyAlignment="1" applyProtection="1">
      <alignment horizontal="left"/>
    </xf>
    <xf numFmtId="0" fontId="5" fillId="3" borderId="10" xfId="0" applyFont="1" applyFill="1" applyBorder="1" applyProtection="1"/>
    <xf numFmtId="164" fontId="5" fillId="3" borderId="10" xfId="0" applyNumberFormat="1" applyFont="1" applyFill="1" applyBorder="1" applyAlignment="1" applyProtection="1">
      <alignment horizontal="center"/>
    </xf>
    <xf numFmtId="164" fontId="4" fillId="3" borderId="10" xfId="0" applyNumberFormat="1" applyFont="1" applyFill="1" applyBorder="1" applyAlignment="1" applyProtection="1">
      <alignment horizontal="center"/>
    </xf>
    <xf numFmtId="164" fontId="4" fillId="3" borderId="11" xfId="0" applyNumberFormat="1" applyFont="1" applyFill="1" applyBorder="1" applyAlignment="1" applyProtection="1">
      <alignment horizontal="center"/>
    </xf>
    <xf numFmtId="164" fontId="4" fillId="3" borderId="16" xfId="0" applyNumberFormat="1" applyFont="1" applyFill="1" applyBorder="1" applyAlignment="1" applyProtection="1">
      <alignment horizontal="center"/>
    </xf>
    <xf numFmtId="0" fontId="13" fillId="3" borderId="15" xfId="0" applyFont="1" applyFill="1" applyBorder="1" applyProtection="1"/>
    <xf numFmtId="0" fontId="13" fillId="3" borderId="9" xfId="0" applyFont="1" applyFill="1" applyBorder="1" applyProtection="1"/>
    <xf numFmtId="0" fontId="8" fillId="3" borderId="10" xfId="0" applyFont="1" applyFill="1" applyBorder="1" applyAlignment="1" applyProtection="1">
      <alignment horizontal="left"/>
    </xf>
    <xf numFmtId="0" fontId="13" fillId="3" borderId="10" xfId="0" applyFont="1" applyFill="1" applyBorder="1" applyAlignment="1" applyProtection="1">
      <alignment horizontal="left"/>
    </xf>
    <xf numFmtId="0" fontId="13" fillId="3" borderId="16" xfId="0" applyFont="1" applyFill="1" applyBorder="1" applyProtection="1"/>
    <xf numFmtId="0" fontId="6" fillId="3" borderId="17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0" fontId="8" fillId="3" borderId="17" xfId="0" applyFont="1" applyFill="1" applyBorder="1" applyAlignment="1" applyProtection="1">
      <alignment horizontal="center"/>
    </xf>
    <xf numFmtId="0" fontId="8" fillId="3" borderId="9" xfId="0" applyFont="1" applyFill="1" applyBorder="1" applyProtection="1"/>
    <xf numFmtId="0" fontId="8" fillId="3" borderId="16" xfId="0" quotePrefix="1" applyFont="1" applyFill="1" applyBorder="1" applyAlignment="1" applyProtection="1">
      <alignment horizontal="left"/>
    </xf>
    <xf numFmtId="164" fontId="4" fillId="3" borderId="14" xfId="0" applyNumberFormat="1" applyFont="1" applyFill="1" applyBorder="1" applyAlignment="1" applyProtection="1">
      <alignment horizontal="center"/>
      <protection locked="0"/>
    </xf>
    <xf numFmtId="2" fontId="4" fillId="4" borderId="13" xfId="0" applyNumberFormat="1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</xf>
    <xf numFmtId="0" fontId="4" fillId="3" borderId="11" xfId="0" applyFont="1" applyFill="1" applyBorder="1" applyAlignment="1" applyProtection="1">
      <alignment horizontal="left"/>
    </xf>
    <xf numFmtId="0" fontId="4" fillId="3" borderId="17" xfId="0" applyFont="1" applyFill="1" applyBorder="1" applyAlignment="1" applyProtection="1">
      <alignment horizontal="left"/>
    </xf>
    <xf numFmtId="164" fontId="5" fillId="3" borderId="14" xfId="0" applyNumberFormat="1" applyFont="1" applyFill="1" applyBorder="1" applyAlignment="1" applyProtection="1">
      <alignment horizontal="center"/>
    </xf>
    <xf numFmtId="167" fontId="4" fillId="3" borderId="17" xfId="4" applyNumberFormat="1" applyFont="1" applyFill="1" applyBorder="1" applyAlignment="1" applyProtection="1">
      <alignment horizontal="left"/>
    </xf>
    <xf numFmtId="167" fontId="4" fillId="3" borderId="11" xfId="4" applyNumberFormat="1" applyFont="1" applyFill="1" applyBorder="1" applyAlignment="1" applyProtection="1">
      <alignment horizontal="left"/>
    </xf>
    <xf numFmtId="167" fontId="4" fillId="3" borderId="14" xfId="4" applyNumberFormat="1" applyFont="1" applyFill="1" applyBorder="1" applyAlignment="1" applyProtection="1">
      <alignment horizontal="left"/>
    </xf>
    <xf numFmtId="164" fontId="5" fillId="3" borderId="17" xfId="0" applyNumberFormat="1" applyFont="1" applyFill="1" applyBorder="1" applyAlignment="1" applyProtection="1">
      <alignment horizontal="center"/>
    </xf>
    <xf numFmtId="1" fontId="4" fillId="4" borderId="13" xfId="0" applyNumberFormat="1" applyFont="1" applyFill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left"/>
    </xf>
    <xf numFmtId="164" fontId="4" fillId="3" borderId="0" xfId="0" applyNumberFormat="1" applyFont="1" applyFill="1" applyBorder="1" applyProtection="1"/>
    <xf numFmtId="0" fontId="21" fillId="3" borderId="0" xfId="0" applyFont="1" applyFill="1" applyBorder="1" applyProtection="1"/>
    <xf numFmtId="1" fontId="21" fillId="3" borderId="0" xfId="0" applyNumberFormat="1" applyFont="1" applyFill="1" applyBorder="1" applyAlignment="1" applyProtection="1">
      <alignment horizontal="center"/>
    </xf>
    <xf numFmtId="164" fontId="21" fillId="3" borderId="0" xfId="0" applyNumberFormat="1" applyFont="1" applyFill="1" applyBorder="1" applyAlignment="1" applyProtection="1">
      <alignment horizontal="center"/>
    </xf>
    <xf numFmtId="164" fontId="22" fillId="3" borderId="0" xfId="0" applyNumberFormat="1" applyFont="1" applyFill="1" applyBorder="1" applyAlignment="1" applyProtection="1">
      <alignment horizontal="center"/>
    </xf>
    <xf numFmtId="164" fontId="4" fillId="3" borderId="0" xfId="0" applyNumberFormat="1" applyFont="1" applyFill="1" applyBorder="1" applyAlignment="1" applyProtection="1">
      <alignment horizontal="right"/>
    </xf>
    <xf numFmtId="164" fontId="5" fillId="4" borderId="0" xfId="4" applyNumberFormat="1" applyFont="1" applyFill="1" applyBorder="1" applyAlignment="1" applyProtection="1">
      <alignment horizontal="left"/>
    </xf>
    <xf numFmtId="164" fontId="4" fillId="4" borderId="0" xfId="4" applyNumberFormat="1" applyFont="1" applyFill="1" applyBorder="1" applyAlignment="1" applyProtection="1">
      <alignment horizontal="left"/>
    </xf>
    <xf numFmtId="0" fontId="5" fillId="4" borderId="6" xfId="0" applyFont="1" applyFill="1" applyBorder="1" applyProtection="1"/>
    <xf numFmtId="0" fontId="5" fillId="4" borderId="7" xfId="0" applyFont="1" applyFill="1" applyBorder="1" applyProtection="1"/>
    <xf numFmtId="0" fontId="8" fillId="4" borderId="7" xfId="0" applyFont="1" applyFill="1" applyBorder="1" applyProtection="1"/>
    <xf numFmtId="0" fontId="5" fillId="4" borderId="8" xfId="0" applyFont="1" applyFill="1" applyBorder="1" applyProtection="1"/>
    <xf numFmtId="0" fontId="29" fillId="0" borderId="0" xfId="0" applyFont="1" applyFill="1" applyAlignment="1">
      <alignment horizontal="left"/>
    </xf>
    <xf numFmtId="0" fontId="29" fillId="0" borderId="0" xfId="0" applyFont="1" applyFill="1" applyBorder="1" applyAlignment="1" applyProtection="1">
      <alignment horizontal="left"/>
    </xf>
    <xf numFmtId="0" fontId="27" fillId="3" borderId="9" xfId="0" applyFont="1" applyFill="1" applyBorder="1" applyProtection="1"/>
    <xf numFmtId="0" fontId="28" fillId="3" borderId="12" xfId="0" applyFont="1" applyFill="1" applyBorder="1" applyProtection="1"/>
    <xf numFmtId="0" fontId="5" fillId="3" borderId="13" xfId="0" applyFont="1" applyFill="1" applyBorder="1" applyAlignment="1" applyProtection="1">
      <alignment horizontal="right"/>
    </xf>
    <xf numFmtId="0" fontId="4" fillId="4" borderId="13" xfId="0" applyFont="1" applyFill="1" applyBorder="1" applyProtection="1">
      <protection locked="0"/>
    </xf>
    <xf numFmtId="0" fontId="6" fillId="3" borderId="13" xfId="0" quotePrefix="1" applyFont="1" applyFill="1" applyBorder="1" applyProtection="1"/>
    <xf numFmtId="164" fontId="6" fillId="3" borderId="13" xfId="0" applyNumberFormat="1" applyFont="1" applyFill="1" applyBorder="1" applyAlignment="1" applyProtection="1">
      <alignment horizontal="center"/>
    </xf>
    <xf numFmtId="164" fontId="4" fillId="3" borderId="13" xfId="4" applyNumberFormat="1" applyFont="1" applyFill="1" applyBorder="1" applyAlignment="1" applyProtection="1">
      <alignment horizontal="left"/>
    </xf>
    <xf numFmtId="0" fontId="8" fillId="3" borderId="9" xfId="0" applyFont="1" applyFill="1" applyBorder="1" applyAlignment="1" applyProtection="1">
      <alignment horizontal="left"/>
    </xf>
    <xf numFmtId="164" fontId="8" fillId="3" borderId="10" xfId="0" applyNumberFormat="1" applyFont="1" applyFill="1" applyBorder="1" applyAlignment="1" applyProtection="1">
      <alignment horizontal="center"/>
    </xf>
    <xf numFmtId="0" fontId="4" fillId="4" borderId="13" xfId="0" applyFont="1" applyFill="1" applyBorder="1" applyAlignment="1" applyProtection="1">
      <alignment horizontal="left"/>
      <protection locked="0"/>
    </xf>
    <xf numFmtId="0" fontId="4" fillId="3" borderId="16" xfId="0" applyFont="1" applyFill="1" applyBorder="1" applyAlignment="1" applyProtection="1">
      <alignment horizontal="left"/>
      <protection locked="0"/>
    </xf>
    <xf numFmtId="164" fontId="4" fillId="3" borderId="10" xfId="4" applyNumberFormat="1" applyFont="1" applyFill="1" applyBorder="1" applyAlignment="1" applyProtection="1">
      <alignment horizontal="left"/>
    </xf>
    <xf numFmtId="164" fontId="35" fillId="3" borderId="13" xfId="0" applyNumberFormat="1" applyFont="1" applyFill="1" applyBorder="1" applyAlignment="1" applyProtection="1">
      <alignment horizontal="center"/>
    </xf>
    <xf numFmtId="164" fontId="5" fillId="4" borderId="7" xfId="4" applyNumberFormat="1" applyFont="1" applyFill="1" applyBorder="1" applyAlignment="1" applyProtection="1">
      <alignment horizontal="left"/>
    </xf>
    <xf numFmtId="164" fontId="5" fillId="4" borderId="2" xfId="4" applyNumberFormat="1" applyFont="1" applyFill="1" applyBorder="1" applyAlignment="1" applyProtection="1">
      <alignment horizontal="left"/>
    </xf>
    <xf numFmtId="167" fontId="4" fillId="4" borderId="7" xfId="4" applyNumberFormat="1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164" fontId="4" fillId="4" borderId="7" xfId="0" applyNumberFormat="1" applyFont="1" applyFill="1" applyBorder="1" applyAlignment="1" applyProtection="1">
      <alignment horizontal="center"/>
    </xf>
    <xf numFmtId="1" fontId="36" fillId="3" borderId="13" xfId="0" applyNumberFormat="1" applyFont="1" applyFill="1" applyBorder="1" applyAlignment="1" applyProtection="1">
      <alignment horizontal="center"/>
    </xf>
    <xf numFmtId="1" fontId="36" fillId="3" borderId="16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14" fontId="5" fillId="0" borderId="0" xfId="0" applyNumberFormat="1" applyFont="1" applyFill="1" applyAlignment="1">
      <alignment horizontal="left"/>
    </xf>
    <xf numFmtId="165" fontId="4" fillId="6" borderId="0" xfId="0" applyNumberFormat="1" applyFont="1" applyFill="1" applyBorder="1" applyProtection="1">
      <protection locked="0"/>
    </xf>
    <xf numFmtId="165" fontId="4" fillId="6" borderId="0" xfId="0" applyNumberFormat="1" applyFont="1" applyFill="1" applyAlignment="1" applyProtection="1">
      <alignment horizontal="left"/>
      <protection locked="0"/>
    </xf>
    <xf numFmtId="0" fontId="4" fillId="6" borderId="0" xfId="0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center"/>
    </xf>
    <xf numFmtId="3" fontId="4" fillId="0" borderId="0" xfId="0" applyNumberFormat="1" applyFont="1" applyFill="1" applyBorder="1" applyAlignment="1" applyProtection="1">
      <alignment horizontal="center"/>
    </xf>
    <xf numFmtId="164" fontId="4" fillId="6" borderId="0" xfId="0" applyNumberFormat="1" applyFont="1" applyFill="1" applyBorder="1" applyAlignment="1" applyProtection="1">
      <alignment horizontal="center"/>
    </xf>
    <xf numFmtId="164" fontId="4" fillId="6" borderId="0" xfId="0" applyNumberFormat="1" applyFont="1" applyFill="1" applyBorder="1" applyAlignment="1" applyProtection="1">
      <alignment horizontal="center"/>
      <protection locked="0"/>
    </xf>
    <xf numFmtId="0" fontId="4" fillId="6" borderId="0" xfId="0" applyFont="1" applyFill="1" applyAlignment="1">
      <alignment horizontal="left"/>
    </xf>
    <xf numFmtId="0" fontId="5" fillId="3" borderId="0" xfId="0" applyFont="1" applyFill="1" applyBorder="1" applyAlignment="1" applyProtection="1">
      <alignment horizontal="right"/>
    </xf>
    <xf numFmtId="0" fontId="14" fillId="3" borderId="12" xfId="0" applyFont="1" applyFill="1" applyBorder="1" applyProtection="1"/>
    <xf numFmtId="165" fontId="4" fillId="3" borderId="0" xfId="0" applyNumberFormat="1" applyFont="1" applyFill="1" applyBorder="1" applyProtection="1"/>
    <xf numFmtId="0" fontId="4" fillId="6" borderId="0" xfId="0" applyFont="1" applyFill="1" applyAlignment="1">
      <alignment horizontal="right"/>
    </xf>
    <xf numFmtId="168" fontId="4" fillId="0" borderId="0" xfId="0" applyNumberFormat="1" applyFont="1" applyFill="1" applyAlignment="1">
      <alignment horizontal="left"/>
    </xf>
    <xf numFmtId="164" fontId="4" fillId="6" borderId="0" xfId="0" applyNumberFormat="1" applyFont="1" applyFill="1" applyBorder="1" applyAlignment="1" applyProtection="1">
      <alignment horizontal="left"/>
      <protection locked="0"/>
    </xf>
    <xf numFmtId="0" fontId="33" fillId="0" borderId="0" xfId="0" applyFont="1" applyFill="1" applyAlignment="1">
      <alignment horizontal="left"/>
    </xf>
    <xf numFmtId="165" fontId="32" fillId="0" borderId="0" xfId="0" applyNumberFormat="1" applyFont="1" applyFill="1" applyAlignment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3" borderId="14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165" fontId="5" fillId="0" borderId="0" xfId="0" applyNumberFormat="1" applyFont="1" applyFill="1" applyAlignment="1">
      <alignment horizontal="left"/>
    </xf>
    <xf numFmtId="168" fontId="8" fillId="6" borderId="0" xfId="0" applyNumberFormat="1" applyFont="1" applyFill="1" applyAlignment="1">
      <alignment horizontal="right"/>
    </xf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right"/>
    </xf>
    <xf numFmtId="0" fontId="25" fillId="4" borderId="4" xfId="0" applyFont="1" applyFill="1" applyBorder="1" applyProtection="1"/>
    <xf numFmtId="0" fontId="25" fillId="4" borderId="5" xfId="0" applyFont="1" applyFill="1" applyBorder="1" applyProtection="1"/>
    <xf numFmtId="0" fontId="25" fillId="3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164" fontId="4" fillId="4" borderId="13" xfId="1" applyNumberFormat="1" applyFont="1" applyFill="1" applyBorder="1" applyProtection="1">
      <protection locked="0"/>
    </xf>
    <xf numFmtId="0" fontId="39" fillId="4" borderId="0" xfId="0" applyFont="1" applyFill="1" applyBorder="1" applyProtection="1"/>
    <xf numFmtId="0" fontId="8" fillId="3" borderId="0" xfId="0" applyFont="1" applyFill="1" applyBorder="1" applyAlignment="1" applyProtection="1">
      <alignment horizontal="left"/>
    </xf>
    <xf numFmtId="0" fontId="37" fillId="3" borderId="0" xfId="0" applyFont="1" applyFill="1" applyBorder="1" applyProtection="1"/>
    <xf numFmtId="0" fontId="5" fillId="3" borderId="14" xfId="0" applyFont="1" applyFill="1" applyBorder="1" applyAlignment="1" applyProtection="1">
      <alignment horizontal="left"/>
    </xf>
    <xf numFmtId="0" fontId="4" fillId="3" borderId="14" xfId="0" quotePrefix="1" applyFont="1" applyFill="1" applyBorder="1" applyAlignment="1" applyProtection="1">
      <alignment horizontal="left"/>
    </xf>
    <xf numFmtId="0" fontId="8" fillId="3" borderId="14" xfId="0" applyFont="1" applyFill="1" applyBorder="1" applyAlignment="1" applyProtection="1">
      <alignment horizontal="left"/>
    </xf>
    <xf numFmtId="0" fontId="6" fillId="3" borderId="14" xfId="0" applyFont="1" applyFill="1" applyBorder="1" applyProtection="1"/>
    <xf numFmtId="0" fontId="13" fillId="3" borderId="14" xfId="0" applyFont="1" applyFill="1" applyBorder="1" applyAlignment="1" applyProtection="1">
      <alignment horizontal="left"/>
    </xf>
    <xf numFmtId="0" fontId="14" fillId="3" borderId="14" xfId="0" quotePrefix="1" applyFont="1" applyFill="1" applyBorder="1" applyProtection="1"/>
    <xf numFmtId="0" fontId="12" fillId="3" borderId="14" xfId="0" applyFont="1" applyFill="1" applyBorder="1" applyProtection="1"/>
    <xf numFmtId="0" fontId="13" fillId="3" borderId="0" xfId="0" applyFont="1" applyFill="1" applyBorder="1" applyAlignment="1" applyProtection="1">
      <alignment horizontal="left"/>
    </xf>
    <xf numFmtId="164" fontId="5" fillId="3" borderId="0" xfId="0" applyNumberFormat="1" applyFont="1" applyFill="1" applyBorder="1" applyAlignment="1" applyProtection="1"/>
    <xf numFmtId="165" fontId="5" fillId="6" borderId="0" xfId="0" applyNumberFormat="1" applyFont="1" applyFill="1" applyBorder="1" applyProtection="1">
      <protection locked="0"/>
    </xf>
    <xf numFmtId="0" fontId="4" fillId="4" borderId="0" xfId="0" applyFont="1" applyFill="1"/>
    <xf numFmtId="0" fontId="6" fillId="4" borderId="0" xfId="0" applyFont="1" applyFill="1"/>
    <xf numFmtId="0" fontId="8" fillId="4" borderId="0" xfId="0" applyFont="1" applyFill="1"/>
    <xf numFmtId="0" fontId="8" fillId="4" borderId="19" xfId="0" quotePrefix="1" applyFont="1" applyFill="1" applyBorder="1" applyAlignment="1">
      <alignment horizontal="center"/>
    </xf>
    <xf numFmtId="0" fontId="4" fillId="4" borderId="0" xfId="0" applyFont="1" applyFill="1" applyAlignment="1"/>
    <xf numFmtId="0" fontId="41" fillId="4" borderId="0" xfId="5" applyFont="1" applyFill="1" applyAlignment="1" applyProtection="1"/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  <protection locked="0"/>
    </xf>
    <xf numFmtId="169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</xf>
    <xf numFmtId="44" fontId="4" fillId="0" borderId="0" xfId="0" applyNumberFormat="1" applyFont="1" applyFill="1" applyBorder="1" applyProtection="1"/>
    <xf numFmtId="0" fontId="34" fillId="0" borderId="0" xfId="0" applyFont="1" applyFill="1" applyBorder="1" applyAlignment="1" applyProtection="1">
      <alignment horizontal="left"/>
      <protection locked="0"/>
    </xf>
    <xf numFmtId="169" fontId="34" fillId="0" borderId="0" xfId="0" applyNumberFormat="1" applyFont="1" applyFill="1" applyBorder="1" applyAlignment="1" applyProtection="1">
      <alignment horizontal="left"/>
      <protection locked="0"/>
    </xf>
    <xf numFmtId="0" fontId="34" fillId="0" borderId="0" xfId="0" applyFont="1" applyFill="1" applyBorder="1" applyAlignment="1" applyProtection="1">
      <alignment horizontal="left"/>
    </xf>
    <xf numFmtId="169" fontId="34" fillId="2" borderId="0" xfId="0" applyNumberFormat="1" applyFont="1" applyFill="1" applyBorder="1" applyAlignment="1" applyProtection="1">
      <alignment horizontal="left"/>
      <protection locked="0"/>
    </xf>
    <xf numFmtId="0" fontId="34" fillId="0" borderId="0" xfId="0" applyFont="1" applyFill="1" applyAlignment="1">
      <alignment horizontal="left"/>
    </xf>
    <xf numFmtId="170" fontId="46" fillId="0" borderId="0" xfId="2" applyNumberFormat="1" applyFont="1" applyFill="1" applyAlignment="1">
      <alignment horizontal="left"/>
    </xf>
    <xf numFmtId="14" fontId="46" fillId="0" borderId="0" xfId="0" applyNumberFormat="1" applyFont="1" applyFill="1" applyAlignment="1">
      <alignment horizontal="left"/>
    </xf>
    <xf numFmtId="17" fontId="46" fillId="0" borderId="0" xfId="0" applyNumberFormat="1" applyFont="1" applyFill="1" applyAlignment="1">
      <alignment horizontal="left"/>
    </xf>
    <xf numFmtId="165" fontId="34" fillId="0" borderId="0" xfId="0" applyNumberFormat="1" applyFont="1" applyFill="1" applyAlignment="1">
      <alignment horizontal="left"/>
    </xf>
    <xf numFmtId="165" fontId="34" fillId="0" borderId="0" xfId="1" applyFont="1" applyFill="1" applyAlignment="1">
      <alignment horizontal="left"/>
    </xf>
    <xf numFmtId="165" fontId="34" fillId="0" borderId="0" xfId="0" applyNumberFormat="1" applyFont="1" applyFill="1" applyBorder="1" applyProtection="1"/>
    <xf numFmtId="0" fontId="34" fillId="0" borderId="0" xfId="0" applyNumberFormat="1" applyFont="1" applyFill="1" applyBorder="1" applyProtection="1">
      <protection locked="0"/>
    </xf>
    <xf numFmtId="165" fontId="34" fillId="0" borderId="0" xfId="4" applyFont="1" applyFill="1" applyBorder="1" applyAlignment="1" applyProtection="1">
      <alignment horizontal="center"/>
    </xf>
    <xf numFmtId="10" fontId="34" fillId="0" borderId="0" xfId="2" applyNumberFormat="1" applyFont="1" applyFill="1" applyBorder="1" applyAlignment="1" applyProtection="1">
      <alignment horizontal="left"/>
      <protection locked="0"/>
    </xf>
    <xf numFmtId="0" fontId="34" fillId="0" borderId="0" xfId="0" applyFont="1" applyFill="1" applyBorder="1" applyProtection="1"/>
    <xf numFmtId="44" fontId="34" fillId="0" borderId="0" xfId="0" applyNumberFormat="1" applyFont="1" applyFill="1" applyBorder="1" applyProtection="1"/>
    <xf numFmtId="0" fontId="34" fillId="0" borderId="0" xfId="0" applyFont="1" applyFill="1" applyBorder="1" applyAlignment="1" applyProtection="1">
      <alignment horizontal="right"/>
    </xf>
    <xf numFmtId="10" fontId="46" fillId="0" borderId="0" xfId="2" applyNumberFormat="1" applyFont="1" applyFill="1" applyAlignment="1">
      <alignment horizontal="left"/>
    </xf>
    <xf numFmtId="0" fontId="34" fillId="0" borderId="0" xfId="0" applyFont="1" applyFill="1" applyBorder="1" applyAlignment="1">
      <alignment horizontal="left"/>
    </xf>
    <xf numFmtId="4" fontId="34" fillId="0" borderId="0" xfId="0" applyNumberFormat="1" applyFont="1" applyFill="1" applyBorder="1" applyAlignment="1" applyProtection="1">
      <alignment horizontal="left" vertical="top" wrapText="1"/>
    </xf>
    <xf numFmtId="4" fontId="34" fillId="0" borderId="0" xfId="0" applyNumberFormat="1" applyFont="1" applyFill="1" applyBorder="1" applyAlignment="1" applyProtection="1">
      <alignment horizontal="left"/>
    </xf>
    <xf numFmtId="10" fontId="34" fillId="0" borderId="0" xfId="0" applyNumberFormat="1" applyFont="1" applyFill="1" applyAlignment="1" applyProtection="1">
      <alignment horizontal="left"/>
      <protection locked="0"/>
    </xf>
    <xf numFmtId="0" fontId="34" fillId="0" borderId="0" xfId="0" applyFont="1" applyFill="1" applyAlignment="1" applyProtection="1">
      <alignment horizontal="left"/>
    </xf>
    <xf numFmtId="168" fontId="34" fillId="0" borderId="0" xfId="0" applyNumberFormat="1" applyFont="1" applyFill="1" applyAlignment="1" applyProtection="1">
      <alignment horizontal="left"/>
    </xf>
    <xf numFmtId="165" fontId="46" fillId="0" borderId="0" xfId="0" applyNumberFormat="1" applyFont="1" applyFill="1" applyAlignment="1">
      <alignment horizontal="left"/>
    </xf>
    <xf numFmtId="0" fontId="4" fillId="4" borderId="14" xfId="0" applyFont="1" applyFill="1" applyBorder="1" applyAlignment="1" applyProtection="1">
      <alignment horizontal="left"/>
    </xf>
    <xf numFmtId="0" fontId="4" fillId="4" borderId="12" xfId="0" applyFont="1" applyFill="1" applyBorder="1" applyAlignment="1" applyProtection="1">
      <alignment horizontal="left"/>
    </xf>
    <xf numFmtId="0" fontId="44" fillId="4" borderId="0" xfId="0" applyFont="1" applyFill="1" applyBorder="1" applyAlignment="1" applyProtection="1">
      <alignment horizontal="center"/>
    </xf>
    <xf numFmtId="0" fontId="8" fillId="7" borderId="13" xfId="0" applyFont="1" applyFill="1" applyBorder="1" applyAlignment="1" applyProtection="1">
      <alignment horizontal="center"/>
    </xf>
    <xf numFmtId="1" fontId="4" fillId="7" borderId="13" xfId="0" applyNumberFormat="1" applyFont="1" applyFill="1" applyBorder="1" applyAlignment="1" applyProtection="1">
      <alignment horizontal="center"/>
    </xf>
    <xf numFmtId="1" fontId="4" fillId="8" borderId="13" xfId="0" applyNumberFormat="1" applyFont="1" applyFill="1" applyBorder="1" applyAlignment="1" applyProtection="1">
      <alignment horizontal="center"/>
    </xf>
    <xf numFmtId="164" fontId="4" fillId="8" borderId="13" xfId="0" applyNumberFormat="1" applyFont="1" applyFill="1" applyBorder="1" applyAlignment="1" applyProtection="1">
      <alignment horizontal="center"/>
    </xf>
    <xf numFmtId="0" fontId="5" fillId="4" borderId="0" xfId="0" applyFont="1" applyFill="1" applyBorder="1" applyAlignment="1" applyProtection="1"/>
    <xf numFmtId="167" fontId="7" fillId="4" borderId="0" xfId="4" applyNumberFormat="1" applyFont="1" applyFill="1" applyBorder="1" applyAlignment="1" applyProtection="1">
      <alignment horizontal="left"/>
    </xf>
    <xf numFmtId="164" fontId="4" fillId="7" borderId="13" xfId="0" applyNumberFormat="1" applyFont="1" applyFill="1" applyBorder="1" applyAlignment="1" applyProtection="1">
      <alignment horizontal="center"/>
    </xf>
    <xf numFmtId="164" fontId="8" fillId="7" borderId="13" xfId="0" applyNumberFormat="1" applyFont="1" applyFill="1" applyBorder="1" applyAlignment="1" applyProtection="1">
      <alignment horizontal="center"/>
    </xf>
    <xf numFmtId="0" fontId="34" fillId="3" borderId="0" xfId="0" applyFont="1" applyFill="1" applyBorder="1" applyProtection="1"/>
    <xf numFmtId="0" fontId="47" fillId="4" borderId="2" xfId="0" applyFont="1" applyFill="1" applyBorder="1" applyAlignment="1" applyProtection="1">
      <alignment horizontal="center"/>
    </xf>
    <xf numFmtId="0" fontId="47" fillId="4" borderId="0" xfId="0" applyFont="1" applyFill="1" applyBorder="1" applyAlignment="1" applyProtection="1">
      <alignment horizontal="center"/>
    </xf>
    <xf numFmtId="0" fontId="49" fillId="4" borderId="0" xfId="0" applyFont="1" applyFill="1" applyBorder="1" applyAlignment="1" applyProtection="1"/>
    <xf numFmtId="0" fontId="46" fillId="4" borderId="0" xfId="0" applyFont="1" applyFill="1" applyBorder="1" applyAlignment="1" applyProtection="1"/>
    <xf numFmtId="0" fontId="47" fillId="3" borderId="11" xfId="0" applyFont="1" applyFill="1" applyBorder="1" applyAlignment="1" applyProtection="1">
      <alignment horizontal="center"/>
    </xf>
    <xf numFmtId="0" fontId="34" fillId="3" borderId="14" xfId="0" applyFont="1" applyFill="1" applyBorder="1" applyAlignment="1" applyProtection="1">
      <alignment horizontal="center"/>
    </xf>
    <xf numFmtId="0" fontId="34" fillId="4" borderId="12" xfId="0" applyFont="1" applyFill="1" applyBorder="1" applyAlignment="1" applyProtection="1">
      <alignment horizontal="center"/>
      <protection locked="0"/>
    </xf>
    <xf numFmtId="0" fontId="34" fillId="3" borderId="13" xfId="0" applyFont="1" applyFill="1" applyBorder="1" applyAlignment="1" applyProtection="1">
      <alignment horizontal="center"/>
    </xf>
    <xf numFmtId="0" fontId="47" fillId="3" borderId="17" xfId="0" applyFont="1" applyFill="1" applyBorder="1" applyAlignment="1" applyProtection="1">
      <alignment horizontal="center"/>
    </xf>
    <xf numFmtId="0" fontId="47" fillId="3" borderId="14" xfId="0" applyFont="1" applyFill="1" applyBorder="1" applyAlignment="1" applyProtection="1">
      <alignment horizontal="center"/>
    </xf>
    <xf numFmtId="1" fontId="34" fillId="8" borderId="13" xfId="0" applyNumberFormat="1" applyFont="1" applyFill="1" applyBorder="1" applyAlignment="1" applyProtection="1">
      <alignment horizontal="center"/>
    </xf>
    <xf numFmtId="0" fontId="48" fillId="7" borderId="13" xfId="0" applyFont="1" applyFill="1" applyBorder="1" applyAlignment="1" applyProtection="1">
      <alignment horizontal="center"/>
    </xf>
    <xf numFmtId="1" fontId="34" fillId="7" borderId="13" xfId="0" applyNumberFormat="1" applyFont="1" applyFill="1" applyBorder="1" applyAlignment="1" applyProtection="1">
      <alignment horizontal="center"/>
    </xf>
    <xf numFmtId="164" fontId="34" fillId="4" borderId="0" xfId="0" applyNumberFormat="1" applyFont="1" applyFill="1" applyBorder="1" applyAlignment="1" applyProtection="1">
      <alignment horizontal="center"/>
    </xf>
    <xf numFmtId="167" fontId="34" fillId="3" borderId="10" xfId="4" applyNumberFormat="1" applyFont="1" applyFill="1" applyBorder="1" applyAlignment="1" applyProtection="1">
      <alignment horizontal="left"/>
    </xf>
    <xf numFmtId="167" fontId="34" fillId="3" borderId="13" xfId="4" applyNumberFormat="1" applyFont="1" applyFill="1" applyBorder="1" applyAlignment="1" applyProtection="1">
      <alignment horizontal="left"/>
    </xf>
    <xf numFmtId="164" fontId="34" fillId="8" borderId="13" xfId="0" applyNumberFormat="1" applyFont="1" applyFill="1" applyBorder="1" applyAlignment="1" applyProtection="1">
      <alignment horizontal="center"/>
    </xf>
    <xf numFmtId="164" fontId="48" fillId="3" borderId="13" xfId="0" applyNumberFormat="1" applyFont="1" applyFill="1" applyBorder="1" applyAlignment="1" applyProtection="1">
      <alignment horizontal="center"/>
    </xf>
    <xf numFmtId="164" fontId="48" fillId="7" borderId="13" xfId="0" applyNumberFormat="1" applyFont="1" applyFill="1" applyBorder="1" applyAlignment="1" applyProtection="1">
      <alignment horizontal="center"/>
    </xf>
    <xf numFmtId="164" fontId="46" fillId="3" borderId="13" xfId="0" applyNumberFormat="1" applyFont="1" applyFill="1" applyBorder="1" applyAlignment="1" applyProtection="1">
      <alignment horizontal="center"/>
    </xf>
    <xf numFmtId="164" fontId="34" fillId="3" borderId="10" xfId="0" applyNumberFormat="1" applyFont="1" applyFill="1" applyBorder="1" applyAlignment="1" applyProtection="1">
      <alignment horizontal="center"/>
    </xf>
    <xf numFmtId="164" fontId="34" fillId="3" borderId="13" xfId="0" applyNumberFormat="1" applyFont="1" applyFill="1" applyBorder="1" applyAlignment="1" applyProtection="1">
      <alignment horizontal="center"/>
    </xf>
    <xf numFmtId="164" fontId="34" fillId="3" borderId="16" xfId="0" applyNumberFormat="1" applyFont="1" applyFill="1" applyBorder="1" applyAlignment="1" applyProtection="1">
      <alignment horizontal="center"/>
    </xf>
    <xf numFmtId="0" fontId="48" fillId="4" borderId="7" xfId="0" applyFont="1" applyFill="1" applyBorder="1" applyAlignment="1" applyProtection="1">
      <alignment horizontal="center"/>
    </xf>
    <xf numFmtId="164" fontId="34" fillId="3" borderId="0" xfId="0" applyNumberFormat="1" applyFont="1" applyFill="1" applyBorder="1" applyAlignment="1" applyProtection="1">
      <alignment horizontal="center"/>
    </xf>
    <xf numFmtId="0" fontId="43" fillId="3" borderId="0" xfId="0" applyFont="1" applyFill="1" applyBorder="1" applyProtection="1"/>
    <xf numFmtId="0" fontId="38" fillId="3" borderId="13" xfId="0" applyFont="1" applyFill="1" applyBorder="1" applyAlignment="1" applyProtection="1">
      <alignment horizontal="left"/>
    </xf>
    <xf numFmtId="0" fontId="7" fillId="4" borderId="4" xfId="0" applyFont="1" applyFill="1" applyBorder="1" applyProtection="1"/>
    <xf numFmtId="0" fontId="50" fillId="4" borderId="0" xfId="0" applyFont="1" applyFill="1" applyBorder="1" applyAlignment="1" applyProtection="1"/>
    <xf numFmtId="0" fontId="7" fillId="4" borderId="5" xfId="0" applyFont="1" applyFill="1" applyBorder="1" applyProtection="1"/>
    <xf numFmtId="0" fontId="7" fillId="3" borderId="0" xfId="0" applyFont="1" applyFill="1" applyBorder="1" applyProtection="1"/>
    <xf numFmtId="0" fontId="39" fillId="4" borderId="4" xfId="0" applyFont="1" applyFill="1" applyBorder="1" applyProtection="1"/>
    <xf numFmtId="0" fontId="51" fillId="4" borderId="0" xfId="0" applyFont="1" applyFill="1" applyBorder="1" applyAlignment="1" applyProtection="1"/>
    <xf numFmtId="0" fontId="39" fillId="4" borderId="5" xfId="0" applyFont="1" applyFill="1" applyBorder="1" applyProtection="1"/>
    <xf numFmtId="0" fontId="39" fillId="3" borderId="0" xfId="0" applyFont="1" applyFill="1" applyBorder="1" applyProtection="1"/>
    <xf numFmtId="0" fontId="8" fillId="3" borderId="13" xfId="0" applyNumberFormat="1" applyFont="1" applyFill="1" applyBorder="1" applyProtection="1"/>
    <xf numFmtId="1" fontId="4" fillId="5" borderId="13" xfId="0" applyNumberFormat="1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center"/>
    </xf>
    <xf numFmtId="0" fontId="1" fillId="3" borderId="13" xfId="0" applyFont="1" applyFill="1" applyBorder="1" applyProtection="1"/>
    <xf numFmtId="167" fontId="8" fillId="3" borderId="14" xfId="0" applyNumberFormat="1" applyFont="1" applyFill="1" applyBorder="1" applyAlignment="1" applyProtection="1">
      <alignment horizontal="right"/>
    </xf>
    <xf numFmtId="0" fontId="1" fillId="3" borderId="12" xfId="0" applyFont="1" applyFill="1" applyBorder="1" applyProtection="1"/>
    <xf numFmtId="0" fontId="1" fillId="3" borderId="13" xfId="0" applyFont="1" applyFill="1" applyBorder="1" applyAlignment="1" applyProtection="1">
      <alignment horizontal="left"/>
    </xf>
    <xf numFmtId="0" fontId="1" fillId="3" borderId="13" xfId="0" quotePrefix="1" applyFont="1" applyFill="1" applyBorder="1" applyAlignment="1" applyProtection="1">
      <alignment horizontal="left"/>
    </xf>
    <xf numFmtId="0" fontId="1" fillId="3" borderId="13" xfId="0" quotePrefix="1" applyFont="1" applyFill="1" applyBorder="1" applyProtection="1"/>
    <xf numFmtId="0" fontId="12" fillId="3" borderId="16" xfId="0" applyFont="1" applyFill="1" applyBorder="1" applyAlignment="1" applyProtection="1">
      <alignment horizontal="left"/>
    </xf>
    <xf numFmtId="0" fontId="1" fillId="4" borderId="0" xfId="0" applyFont="1" applyFill="1" applyBorder="1" applyProtection="1"/>
    <xf numFmtId="0" fontId="1" fillId="3" borderId="15" xfId="0" applyFont="1" applyFill="1" applyBorder="1" applyProtection="1"/>
    <xf numFmtId="0" fontId="1" fillId="4" borderId="0" xfId="0" applyFont="1" applyFill="1" applyBorder="1" applyAlignment="1" applyProtection="1">
      <alignment horizontal="left"/>
    </xf>
    <xf numFmtId="0" fontId="1" fillId="3" borderId="9" xfId="0" applyFont="1" applyFill="1" applyBorder="1" applyProtection="1"/>
    <xf numFmtId="0" fontId="1" fillId="3" borderId="10" xfId="0" applyFont="1" applyFill="1" applyBorder="1" applyAlignment="1" applyProtection="1">
      <alignment horizontal="left"/>
    </xf>
    <xf numFmtId="0" fontId="8" fillId="4" borderId="2" xfId="0" quotePrefix="1" applyFont="1" applyFill="1" applyBorder="1" applyAlignment="1" applyProtection="1">
      <alignment horizontal="left"/>
    </xf>
    <xf numFmtId="0" fontId="8" fillId="4" borderId="0" xfId="0" quotePrefix="1" applyFont="1" applyFill="1" applyBorder="1" applyAlignment="1" applyProtection="1">
      <alignment horizontal="left"/>
    </xf>
    <xf numFmtId="0" fontId="1" fillId="3" borderId="10" xfId="0" applyFont="1" applyFill="1" applyBorder="1" applyProtection="1"/>
    <xf numFmtId="0" fontId="1" fillId="3" borderId="16" xfId="0" applyFont="1" applyFill="1" applyBorder="1" applyProtection="1"/>
    <xf numFmtId="164" fontId="8" fillId="3" borderId="13" xfId="0" applyNumberFormat="1" applyFont="1" applyFill="1" applyBorder="1" applyAlignment="1" applyProtection="1">
      <alignment horizontal="center"/>
      <protection locked="0"/>
    </xf>
    <xf numFmtId="164" fontId="8" fillId="3" borderId="14" xfId="0" applyNumberFormat="1" applyFont="1" applyFill="1" applyBorder="1" applyAlignment="1" applyProtection="1">
      <alignment horizontal="center"/>
      <protection locked="0"/>
    </xf>
    <xf numFmtId="1" fontId="8" fillId="7" borderId="13" xfId="0" applyNumberFormat="1" applyFont="1" applyFill="1" applyBorder="1" applyAlignment="1" applyProtection="1">
      <alignment horizontal="center"/>
    </xf>
    <xf numFmtId="0" fontId="4" fillId="7" borderId="13" xfId="0" applyNumberFormat="1" applyFont="1" applyFill="1" applyBorder="1" applyAlignment="1" applyProtection="1">
      <alignment horizontal="center"/>
    </xf>
    <xf numFmtId="164" fontId="6" fillId="7" borderId="13" xfId="0" applyNumberFormat="1" applyFont="1" applyFill="1" applyBorder="1" applyAlignment="1" applyProtection="1">
      <alignment horizontal="center"/>
    </xf>
    <xf numFmtId="167" fontId="8" fillId="7" borderId="13" xfId="0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Protection="1"/>
    <xf numFmtId="164" fontId="4" fillId="7" borderId="13" xfId="0" applyNumberFormat="1" applyFont="1" applyFill="1" applyBorder="1" applyProtection="1"/>
    <xf numFmtId="167" fontId="8" fillId="7" borderId="13" xfId="0" applyNumberFormat="1" applyFont="1" applyFill="1" applyBorder="1" applyAlignment="1" applyProtection="1">
      <alignment horizontal="center"/>
    </xf>
    <xf numFmtId="164" fontId="8" fillId="7" borderId="13" xfId="0" applyNumberFormat="1" applyFont="1" applyFill="1" applyBorder="1" applyProtection="1"/>
    <xf numFmtId="164" fontId="6" fillId="7" borderId="13" xfId="0" applyNumberFormat="1" applyFont="1" applyFill="1" applyBorder="1" applyProtection="1"/>
    <xf numFmtId="164" fontId="8" fillId="7" borderId="13" xfId="0" applyNumberFormat="1" applyFont="1" applyFill="1" applyBorder="1" applyAlignment="1" applyProtection="1">
      <alignment horizontal="center"/>
      <protection locked="0"/>
    </xf>
    <xf numFmtId="1" fontId="8" fillId="8" borderId="13" xfId="0" applyNumberFormat="1" applyFont="1" applyFill="1" applyBorder="1" applyAlignment="1" applyProtection="1">
      <alignment horizontal="center"/>
    </xf>
    <xf numFmtId="0" fontId="4" fillId="8" borderId="13" xfId="0" applyFont="1" applyFill="1" applyBorder="1" applyAlignment="1" applyProtection="1">
      <alignment horizontal="center"/>
    </xf>
    <xf numFmtId="0" fontId="5" fillId="8" borderId="13" xfId="0" applyNumberFormat="1" applyFont="1" applyFill="1" applyBorder="1" applyAlignment="1" applyProtection="1">
      <alignment horizontal="center"/>
    </xf>
    <xf numFmtId="164" fontId="4" fillId="8" borderId="13" xfId="4" applyNumberFormat="1" applyFont="1" applyFill="1" applyBorder="1" applyAlignment="1" applyProtection="1">
      <alignment horizontal="center"/>
    </xf>
    <xf numFmtId="167" fontId="4" fillId="8" borderId="13" xfId="4" applyNumberFormat="1" applyFont="1" applyFill="1" applyBorder="1" applyAlignment="1" applyProtection="1">
      <alignment horizontal="left"/>
    </xf>
    <xf numFmtId="164" fontId="4" fillId="8" borderId="13" xfId="4" applyNumberFormat="1" applyFont="1" applyFill="1" applyBorder="1" applyAlignment="1" applyProtection="1">
      <alignment horizontal="left"/>
    </xf>
    <xf numFmtId="0" fontId="50" fillId="4" borderId="0" xfId="0" applyFont="1" applyFill="1" applyBorder="1" applyAlignment="1" applyProtection="1">
      <alignment horizontal="right"/>
    </xf>
    <xf numFmtId="0" fontId="1" fillId="3" borderId="14" xfId="0" applyFont="1" applyFill="1" applyBorder="1" applyProtection="1"/>
    <xf numFmtId="167" fontId="4" fillId="8" borderId="13" xfId="4" applyNumberFormat="1" applyFont="1" applyFill="1" applyBorder="1" applyAlignment="1" applyProtection="1">
      <alignment horizontal="center"/>
    </xf>
    <xf numFmtId="167" fontId="6" fillId="7" borderId="13" xfId="0" applyNumberFormat="1" applyFont="1" applyFill="1" applyBorder="1" applyAlignment="1" applyProtection="1">
      <alignment horizontal="right"/>
    </xf>
    <xf numFmtId="167" fontId="8" fillId="7" borderId="13" xfId="4" applyNumberFormat="1" applyFont="1" applyFill="1" applyBorder="1" applyAlignment="1" applyProtection="1">
      <alignment horizontal="center"/>
    </xf>
    <xf numFmtId="0" fontId="1" fillId="3" borderId="0" xfId="0" applyFont="1" applyFill="1" applyBorder="1" applyProtection="1"/>
    <xf numFmtId="164" fontId="8" fillId="7" borderId="13" xfId="1" applyNumberFormat="1" applyFont="1" applyFill="1" applyBorder="1" applyProtection="1"/>
    <xf numFmtId="164" fontId="8" fillId="7" borderId="13" xfId="0" applyNumberFormat="1" applyFont="1" applyFill="1" applyBorder="1" applyAlignment="1" applyProtection="1">
      <alignment horizontal="left"/>
    </xf>
    <xf numFmtId="164" fontId="4" fillId="7" borderId="13" xfId="0" applyNumberFormat="1" applyFont="1" applyFill="1" applyBorder="1" applyAlignment="1" applyProtection="1">
      <alignment horizontal="left"/>
    </xf>
    <xf numFmtId="164" fontId="52" fillId="3" borderId="16" xfId="0" applyNumberFormat="1" applyFont="1" applyFill="1" applyBorder="1" applyAlignment="1" applyProtection="1">
      <alignment horizontal="center"/>
    </xf>
    <xf numFmtId="164" fontId="38" fillId="4" borderId="0" xfId="4" applyNumberFormat="1" applyFont="1" applyFill="1" applyBorder="1" applyAlignment="1" applyProtection="1">
      <alignment horizontal="left"/>
    </xf>
    <xf numFmtId="164" fontId="35" fillId="3" borderId="16" xfId="0" applyNumberFormat="1" applyFont="1" applyFill="1" applyBorder="1" applyAlignment="1" applyProtection="1">
      <alignment horizontal="center"/>
    </xf>
    <xf numFmtId="0" fontId="35" fillId="3" borderId="16" xfId="0" applyFont="1" applyFill="1" applyBorder="1" applyAlignment="1" applyProtection="1">
      <alignment horizontal="left"/>
    </xf>
    <xf numFmtId="0" fontId="36" fillId="3" borderId="16" xfId="0" applyFont="1" applyFill="1" applyBorder="1" applyAlignment="1" applyProtection="1">
      <alignment horizontal="left"/>
    </xf>
    <xf numFmtId="0" fontId="53" fillId="3" borderId="16" xfId="0" applyFont="1" applyFill="1" applyBorder="1" applyProtection="1"/>
    <xf numFmtId="0" fontId="54" fillId="3" borderId="16" xfId="0" applyFont="1" applyFill="1" applyBorder="1" applyAlignment="1" applyProtection="1">
      <alignment horizontal="left"/>
    </xf>
    <xf numFmtId="0" fontId="54" fillId="3" borderId="16" xfId="0" applyFont="1" applyFill="1" applyBorder="1" applyProtection="1"/>
    <xf numFmtId="0" fontId="43" fillId="4" borderId="0" xfId="0" applyFont="1" applyFill="1" applyBorder="1" applyProtection="1"/>
    <xf numFmtId="0" fontId="45" fillId="4" borderId="0" xfId="0" quotePrefix="1" applyFont="1" applyFill="1" applyBorder="1" applyAlignment="1" applyProtection="1">
      <alignment horizontal="left"/>
    </xf>
    <xf numFmtId="0" fontId="38" fillId="3" borderId="13" xfId="0" applyFont="1" applyFill="1" applyBorder="1" applyProtection="1"/>
    <xf numFmtId="0" fontId="43" fillId="4" borderId="5" xfId="0" applyFont="1" applyFill="1" applyBorder="1" applyProtection="1"/>
    <xf numFmtId="164" fontId="55" fillId="3" borderId="16" xfId="0" applyNumberFormat="1" applyFont="1" applyFill="1" applyBorder="1" applyAlignment="1" applyProtection="1">
      <alignment horizontal="center"/>
    </xf>
    <xf numFmtId="0" fontId="43" fillId="4" borderId="4" xfId="0" applyFont="1" applyFill="1" applyBorder="1" applyProtection="1"/>
    <xf numFmtId="0" fontId="43" fillId="3" borderId="12" xfId="0" applyFont="1" applyFill="1" applyBorder="1" applyProtection="1"/>
    <xf numFmtId="0" fontId="44" fillId="4" borderId="4" xfId="0" applyFont="1" applyFill="1" applyBorder="1" applyProtection="1"/>
    <xf numFmtId="0" fontId="44" fillId="4" borderId="0" xfId="0" applyFont="1" applyFill="1" applyBorder="1" applyProtection="1"/>
    <xf numFmtId="0" fontId="38" fillId="4" borderId="0" xfId="0" applyFont="1" applyFill="1" applyBorder="1" applyAlignment="1" applyProtection="1">
      <alignment horizontal="left"/>
    </xf>
    <xf numFmtId="0" fontId="44" fillId="4" borderId="5" xfId="0" applyFont="1" applyFill="1" applyBorder="1" applyProtection="1"/>
    <xf numFmtId="0" fontId="44" fillId="3" borderId="0" xfId="0" applyFont="1" applyFill="1" applyBorder="1" applyProtection="1"/>
    <xf numFmtId="0" fontId="4" fillId="4" borderId="18" xfId="0" applyFont="1" applyFill="1" applyBorder="1" applyAlignment="1" applyProtection="1">
      <alignment horizontal="left"/>
    </xf>
    <xf numFmtId="0" fontId="24" fillId="4" borderId="0" xfId="0" applyFont="1" applyFill="1"/>
    <xf numFmtId="0" fontId="8" fillId="4" borderId="0" xfId="0" applyFont="1" applyFill="1" applyAlignment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38" fillId="4" borderId="4" xfId="0" applyFont="1" applyFill="1" applyBorder="1" applyProtection="1"/>
    <xf numFmtId="0" fontId="38" fillId="3" borderId="0" xfId="0" applyFont="1" applyFill="1" applyBorder="1" applyAlignment="1" applyProtection="1">
      <alignment horizontal="left"/>
    </xf>
    <xf numFmtId="0" fontId="38" fillId="3" borderId="0" xfId="0" applyFont="1" applyFill="1" applyBorder="1" applyProtection="1"/>
    <xf numFmtId="0" fontId="38" fillId="4" borderId="5" xfId="0" applyFont="1" applyFill="1" applyBorder="1" applyProtection="1"/>
    <xf numFmtId="0" fontId="31" fillId="4" borderId="7" xfId="0" applyFont="1" applyFill="1" applyBorder="1" applyAlignment="1" applyProtection="1">
      <alignment horizontal="right"/>
    </xf>
    <xf numFmtId="0" fontId="6" fillId="4" borderId="4" xfId="0" applyFont="1" applyFill="1" applyBorder="1" applyProtection="1"/>
    <xf numFmtId="164" fontId="46" fillId="7" borderId="13" xfId="0" applyNumberFormat="1" applyFont="1" applyFill="1" applyBorder="1" applyAlignment="1" applyProtection="1">
      <alignment horizontal="center"/>
    </xf>
    <xf numFmtId="9" fontId="38" fillId="3" borderId="13" xfId="2" applyFont="1" applyFill="1" applyBorder="1" applyAlignment="1" applyProtection="1">
      <alignment horizontal="right"/>
    </xf>
    <xf numFmtId="10" fontId="4" fillId="0" borderId="0" xfId="0" applyNumberFormat="1" applyFont="1" applyFill="1" applyBorder="1" applyAlignment="1" applyProtection="1">
      <alignment horizontal="left"/>
    </xf>
    <xf numFmtId="10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172" fontId="38" fillId="3" borderId="13" xfId="2" applyNumberFormat="1" applyFont="1" applyFill="1" applyBorder="1" applyProtection="1"/>
    <xf numFmtId="0" fontId="56" fillId="4" borderId="0" xfId="0" applyFont="1" applyFill="1" applyBorder="1" applyAlignment="1" applyProtection="1">
      <alignment horizontal="right"/>
    </xf>
    <xf numFmtId="0" fontId="57" fillId="4" borderId="0" xfId="0" applyFont="1" applyFill="1" applyBorder="1" applyAlignment="1" applyProtection="1">
      <alignment horizontal="center"/>
    </xf>
    <xf numFmtId="0" fontId="58" fillId="3" borderId="13" xfId="0" applyNumberFormat="1" applyFont="1" applyFill="1" applyBorder="1" applyProtection="1"/>
    <xf numFmtId="0" fontId="58" fillId="3" borderId="13" xfId="0" applyFont="1" applyFill="1" applyBorder="1" applyProtection="1"/>
    <xf numFmtId="0" fontId="56" fillId="3" borderId="13" xfId="0" applyFont="1" applyFill="1" applyBorder="1" applyProtection="1"/>
    <xf numFmtId="0" fontId="57" fillId="3" borderId="13" xfId="0" applyFont="1" applyFill="1" applyBorder="1" applyAlignment="1" applyProtection="1">
      <alignment horizontal="center"/>
    </xf>
    <xf numFmtId="0" fontId="59" fillId="3" borderId="14" xfId="0" applyFont="1" applyFill="1" applyBorder="1" applyAlignment="1" applyProtection="1">
      <alignment horizontal="left"/>
    </xf>
    <xf numFmtId="0" fontId="58" fillId="3" borderId="13" xfId="0" applyFont="1" applyFill="1" applyBorder="1" applyAlignment="1" applyProtection="1">
      <alignment horizontal="left"/>
    </xf>
    <xf numFmtId="0" fontId="59" fillId="4" borderId="0" xfId="0" applyFont="1" applyFill="1" applyBorder="1" applyProtection="1"/>
    <xf numFmtId="0" fontId="61" fillId="4" borderId="0" xfId="0" applyFont="1" applyFill="1" applyBorder="1" applyProtection="1"/>
    <xf numFmtId="0" fontId="61" fillId="4" borderId="0" xfId="0" applyFont="1" applyFill="1" applyBorder="1" applyAlignment="1" applyProtection="1">
      <alignment horizontal="left"/>
    </xf>
    <xf numFmtId="0" fontId="61" fillId="4" borderId="0" xfId="4" applyNumberFormat="1" applyFont="1" applyFill="1" applyBorder="1" applyAlignment="1" applyProtection="1"/>
    <xf numFmtId="0" fontId="60" fillId="4" borderId="0" xfId="0" applyFont="1" applyFill="1" applyBorder="1" applyProtection="1"/>
    <xf numFmtId="167" fontId="60" fillId="4" borderId="0" xfId="4" applyNumberFormat="1" applyFont="1" applyFill="1" applyBorder="1" applyAlignment="1" applyProtection="1">
      <alignment horizontal="left"/>
    </xf>
    <xf numFmtId="167" fontId="61" fillId="4" borderId="0" xfId="4" applyNumberFormat="1" applyFont="1" applyFill="1" applyBorder="1" applyAlignment="1" applyProtection="1">
      <alignment horizontal="left"/>
    </xf>
    <xf numFmtId="0" fontId="56" fillId="4" borderId="0" xfId="0" applyFont="1" applyFill="1" applyBorder="1" applyProtection="1"/>
    <xf numFmtId="167" fontId="59" fillId="4" borderId="0" xfId="4" applyNumberFormat="1" applyFont="1" applyFill="1" applyBorder="1" applyAlignment="1" applyProtection="1">
      <alignment horizontal="left"/>
    </xf>
    <xf numFmtId="0" fontId="58" fillId="3" borderId="10" xfId="0" applyFont="1" applyFill="1" applyBorder="1" applyProtection="1"/>
    <xf numFmtId="164" fontId="57" fillId="4" borderId="0" xfId="4" applyNumberFormat="1" applyFont="1" applyFill="1" applyBorder="1" applyAlignment="1" applyProtection="1">
      <alignment horizontal="center"/>
    </xf>
    <xf numFmtId="0" fontId="59" fillId="3" borderId="13" xfId="0" applyFont="1" applyFill="1" applyBorder="1" applyProtection="1"/>
    <xf numFmtId="0" fontId="59" fillId="3" borderId="0" xfId="0" applyFont="1" applyFill="1" applyBorder="1" applyProtection="1"/>
    <xf numFmtId="0" fontId="56" fillId="3" borderId="0" xfId="0" applyFont="1" applyFill="1" applyBorder="1" applyAlignment="1" applyProtection="1">
      <alignment horizontal="right"/>
    </xf>
    <xf numFmtId="0" fontId="57" fillId="3" borderId="0" xfId="0" applyFont="1" applyFill="1" applyBorder="1" applyAlignment="1" applyProtection="1">
      <alignment horizontal="center"/>
    </xf>
    <xf numFmtId="0" fontId="58" fillId="3" borderId="0" xfId="0" applyFont="1" applyFill="1" applyBorder="1" applyProtection="1"/>
    <xf numFmtId="0" fontId="57" fillId="4" borderId="0" xfId="0" applyFont="1" applyFill="1" applyBorder="1" applyProtection="1"/>
    <xf numFmtId="0" fontId="58" fillId="3" borderId="0" xfId="0" applyFont="1" applyFill="1" applyBorder="1" applyAlignment="1" applyProtection="1">
      <alignment horizontal="left"/>
    </xf>
    <xf numFmtId="0" fontId="61" fillId="4" borderId="4" xfId="0" applyFont="1" applyFill="1" applyBorder="1" applyProtection="1"/>
    <xf numFmtId="0" fontId="62" fillId="4" borderId="0" xfId="0" applyFont="1" applyFill="1" applyBorder="1" applyAlignment="1" applyProtection="1">
      <alignment horizontal="right"/>
    </xf>
    <xf numFmtId="0" fontId="62" fillId="4" borderId="0" xfId="0" applyFont="1" applyFill="1" applyBorder="1" applyAlignment="1" applyProtection="1"/>
    <xf numFmtId="0" fontId="61" fillId="4" borderId="5" xfId="0" applyFont="1" applyFill="1" applyBorder="1" applyProtection="1"/>
    <xf numFmtId="0" fontId="61" fillId="3" borderId="0" xfId="0" applyFont="1" applyFill="1" applyBorder="1" applyProtection="1"/>
    <xf numFmtId="0" fontId="4" fillId="3" borderId="13" xfId="0" applyFont="1" applyFill="1" applyBorder="1" applyAlignment="1" applyProtection="1">
      <alignment horizontal="right"/>
    </xf>
    <xf numFmtId="9" fontId="63" fillId="3" borderId="0" xfId="2" applyFont="1" applyFill="1" applyAlignment="1" applyProtection="1">
      <alignment horizontal="center"/>
    </xf>
    <xf numFmtId="0" fontId="64" fillId="3" borderId="10" xfId="0" applyFont="1" applyFill="1" applyBorder="1" applyAlignment="1" applyProtection="1">
      <alignment horizontal="left"/>
    </xf>
    <xf numFmtId="0" fontId="65" fillId="3" borderId="13" xfId="0" applyFont="1" applyFill="1" applyBorder="1" applyAlignment="1" applyProtection="1">
      <alignment horizontal="left"/>
    </xf>
    <xf numFmtId="0" fontId="64" fillId="3" borderId="13" xfId="0" applyFont="1" applyFill="1" applyBorder="1" applyAlignment="1" applyProtection="1">
      <alignment horizontal="left"/>
    </xf>
    <xf numFmtId="0" fontId="64" fillId="3" borderId="13" xfId="0" quotePrefix="1" applyFont="1" applyFill="1" applyBorder="1" applyAlignment="1" applyProtection="1">
      <alignment horizontal="left"/>
    </xf>
    <xf numFmtId="0" fontId="65" fillId="3" borderId="13" xfId="0" applyNumberFormat="1" applyFont="1" applyFill="1" applyBorder="1" applyAlignment="1" applyProtection="1">
      <alignment horizontal="left"/>
    </xf>
    <xf numFmtId="0" fontId="66" fillId="3" borderId="10" xfId="0" applyFont="1" applyFill="1" applyBorder="1" applyAlignment="1" applyProtection="1">
      <alignment horizontal="left"/>
    </xf>
    <xf numFmtId="9" fontId="66" fillId="3" borderId="0" xfId="2" applyFont="1" applyFill="1" applyAlignment="1" applyProtection="1">
      <alignment horizontal="center"/>
    </xf>
    <xf numFmtId="0" fontId="66" fillId="3" borderId="0" xfId="2" applyNumberFormat="1" applyFont="1" applyFill="1" applyBorder="1" applyAlignment="1" applyProtection="1">
      <alignment horizontal="center"/>
    </xf>
    <xf numFmtId="0" fontId="67" fillId="3" borderId="13" xfId="0" applyFont="1" applyFill="1" applyBorder="1" applyAlignment="1" applyProtection="1">
      <alignment horizontal="left"/>
    </xf>
    <xf numFmtId="0" fontId="63" fillId="3" borderId="13" xfId="0" applyFont="1" applyFill="1" applyBorder="1" applyAlignment="1" applyProtection="1">
      <alignment horizontal="left"/>
    </xf>
    <xf numFmtId="0" fontId="56" fillId="3" borderId="13" xfId="0" applyFont="1" applyFill="1" applyBorder="1" applyAlignment="1" applyProtection="1">
      <alignment horizontal="left"/>
    </xf>
    <xf numFmtId="9" fontId="56" fillId="3" borderId="13" xfId="2" applyNumberFormat="1" applyFont="1" applyFill="1" applyBorder="1" applyAlignment="1" applyProtection="1">
      <alignment horizontal="right"/>
    </xf>
    <xf numFmtId="0" fontId="70" fillId="4" borderId="4" xfId="0" applyFont="1" applyFill="1" applyBorder="1" applyProtection="1"/>
    <xf numFmtId="0" fontId="24" fillId="4" borderId="0" xfId="0" applyFont="1" applyFill="1" applyBorder="1" applyAlignment="1" applyProtection="1">
      <alignment horizontal="left"/>
    </xf>
    <xf numFmtId="0" fontId="71" fillId="4" borderId="0" xfId="0" applyFont="1" applyFill="1" applyBorder="1" applyAlignment="1" applyProtection="1">
      <alignment horizontal="left"/>
    </xf>
    <xf numFmtId="0" fontId="72" fillId="4" borderId="4" xfId="0" applyFont="1" applyFill="1" applyBorder="1" applyProtection="1"/>
    <xf numFmtId="0" fontId="73" fillId="4" borderId="0" xfId="0" applyFont="1" applyFill="1" applyBorder="1" applyProtection="1"/>
    <xf numFmtId="0" fontId="73" fillId="4" borderId="0" xfId="0" applyFont="1" applyFill="1" applyBorder="1" applyAlignment="1" applyProtection="1">
      <alignment horizontal="center"/>
    </xf>
    <xf numFmtId="0" fontId="73" fillId="4" borderId="0" xfId="0" applyFont="1" applyFill="1" applyBorder="1" applyAlignment="1" applyProtection="1">
      <alignment horizontal="left"/>
    </xf>
    <xf numFmtId="0" fontId="73" fillId="4" borderId="5" xfId="0" applyFont="1" applyFill="1" applyBorder="1" applyProtection="1"/>
    <xf numFmtId="0" fontId="6" fillId="4" borderId="0" xfId="0" applyFont="1" applyFill="1" applyBorder="1" applyProtection="1"/>
    <xf numFmtId="0" fontId="20" fillId="4" borderId="0" xfId="0" applyFont="1" applyFill="1" applyBorder="1" applyProtection="1"/>
    <xf numFmtId="0" fontId="18" fillId="4" borderId="0" xfId="0" applyFont="1" applyFill="1" applyBorder="1" applyProtection="1"/>
    <xf numFmtId="0" fontId="18" fillId="4" borderId="0" xfId="0" applyFont="1" applyFill="1" applyBorder="1" applyAlignment="1" applyProtection="1">
      <alignment horizontal="center"/>
    </xf>
    <xf numFmtId="0" fontId="8" fillId="4" borderId="0" xfId="0" applyFont="1" applyFill="1" applyBorder="1" applyProtection="1"/>
    <xf numFmtId="0" fontId="26" fillId="3" borderId="16" xfId="0" applyFont="1" applyFill="1" applyBorder="1" applyProtection="1"/>
    <xf numFmtId="0" fontId="4" fillId="3" borderId="16" xfId="0" applyFont="1" applyFill="1" applyBorder="1" applyAlignment="1" applyProtection="1">
      <alignment horizontal="center"/>
    </xf>
    <xf numFmtId="0" fontId="74" fillId="3" borderId="13" xfId="0" applyFont="1" applyFill="1" applyBorder="1" applyProtection="1"/>
    <xf numFmtId="164" fontId="5" fillId="7" borderId="13" xfId="0" applyNumberFormat="1" applyFont="1" applyFill="1" applyBorder="1" applyAlignment="1" applyProtection="1">
      <alignment horizontal="center"/>
    </xf>
    <xf numFmtId="0" fontId="4" fillId="3" borderId="13" xfId="0" quotePrefix="1" applyFont="1" applyFill="1" applyBorder="1" applyProtection="1"/>
    <xf numFmtId="0" fontId="59" fillId="3" borderId="13" xfId="0" applyFont="1" applyFill="1" applyBorder="1" applyAlignment="1" applyProtection="1">
      <alignment horizontal="center"/>
    </xf>
    <xf numFmtId="164" fontId="56" fillId="3" borderId="13" xfId="0" applyNumberFormat="1" applyFont="1" applyFill="1" applyBorder="1" applyAlignment="1" applyProtection="1">
      <alignment horizontal="center"/>
    </xf>
    <xf numFmtId="0" fontId="32" fillId="3" borderId="13" xfId="0" applyFont="1" applyFill="1" applyBorder="1" applyAlignment="1" applyProtection="1">
      <alignment horizontal="center"/>
    </xf>
    <xf numFmtId="173" fontId="56" fillId="3" borderId="13" xfId="0" applyNumberFormat="1" applyFont="1" applyFill="1" applyBorder="1" applyAlignment="1" applyProtection="1">
      <alignment horizontal="center"/>
    </xf>
    <xf numFmtId="0" fontId="4" fillId="4" borderId="7" xfId="0" applyFont="1" applyFill="1" applyBorder="1" applyAlignment="1" applyProtection="1">
      <alignment horizontal="center"/>
    </xf>
    <xf numFmtId="0" fontId="75" fillId="4" borderId="0" xfId="0" applyFont="1" applyFill="1" applyBorder="1" applyAlignment="1" applyProtection="1">
      <alignment horizontal="left"/>
    </xf>
    <xf numFmtId="164" fontId="4" fillId="8" borderId="13" xfId="0" applyNumberFormat="1" applyFont="1" applyFill="1" applyBorder="1" applyAlignment="1" applyProtection="1">
      <alignment horizontal="left"/>
    </xf>
    <xf numFmtId="0" fontId="4" fillId="8" borderId="0" xfId="0" applyFont="1" applyFill="1" applyBorder="1" applyAlignment="1" applyProtection="1">
      <alignment horizontal="left"/>
      <protection locked="0"/>
    </xf>
    <xf numFmtId="0" fontId="34" fillId="8" borderId="0" xfId="0" applyFont="1" applyFill="1" applyBorder="1" applyAlignment="1" applyProtection="1">
      <alignment horizontal="left"/>
      <protection locked="0"/>
    </xf>
    <xf numFmtId="4" fontId="4" fillId="8" borderId="0" xfId="0" applyNumberFormat="1" applyFont="1" applyFill="1" applyBorder="1" applyAlignment="1" applyProtection="1">
      <alignment horizontal="left"/>
      <protection locked="0"/>
    </xf>
    <xf numFmtId="4" fontId="34" fillId="8" borderId="0" xfId="0" applyNumberFormat="1" applyFont="1" applyFill="1" applyBorder="1" applyAlignment="1" applyProtection="1">
      <alignment horizontal="left"/>
      <protection locked="0"/>
    </xf>
    <xf numFmtId="165" fontId="4" fillId="8" borderId="0" xfId="0" applyNumberFormat="1" applyFont="1" applyFill="1" applyBorder="1" applyAlignment="1" applyProtection="1">
      <alignment horizontal="left"/>
      <protection locked="0"/>
    </xf>
    <xf numFmtId="165" fontId="34" fillId="8" borderId="0" xfId="0" applyNumberFormat="1" applyFont="1" applyFill="1" applyBorder="1" applyAlignment="1" applyProtection="1">
      <alignment horizontal="left"/>
      <protection locked="0"/>
    </xf>
    <xf numFmtId="165" fontId="4" fillId="8" borderId="0" xfId="1" applyFont="1" applyFill="1" applyAlignment="1">
      <alignment horizontal="left"/>
    </xf>
    <xf numFmtId="165" fontId="34" fillId="8" borderId="0" xfId="1" applyFont="1" applyFill="1" applyAlignment="1">
      <alignment horizontal="left"/>
    </xf>
    <xf numFmtId="166" fontId="4" fillId="8" borderId="0" xfId="0" applyNumberFormat="1" applyFont="1" applyFill="1" applyAlignment="1" applyProtection="1">
      <alignment horizontal="left"/>
      <protection locked="0"/>
    </xf>
    <xf numFmtId="10" fontId="4" fillId="8" borderId="0" xfId="0" applyNumberFormat="1" applyFont="1" applyFill="1" applyBorder="1" applyAlignment="1" applyProtection="1">
      <alignment horizontal="center"/>
    </xf>
    <xf numFmtId="10" fontId="4" fillId="8" borderId="0" xfId="0" applyNumberFormat="1" applyFont="1" applyFill="1" applyBorder="1" applyAlignment="1" applyProtection="1">
      <alignment horizontal="center"/>
      <protection locked="0"/>
    </xf>
    <xf numFmtId="165" fontId="4" fillId="8" borderId="0" xfId="0" applyNumberFormat="1" applyFont="1" applyFill="1" applyBorder="1" applyAlignment="1" applyProtection="1">
      <alignment horizontal="left"/>
    </xf>
    <xf numFmtId="165" fontId="4" fillId="8" borderId="0" xfId="0" applyNumberFormat="1" applyFont="1" applyFill="1" applyBorder="1" applyAlignment="1" applyProtection="1">
      <alignment horizontal="center"/>
      <protection locked="0"/>
    </xf>
    <xf numFmtId="165" fontId="4" fillId="8" borderId="0" xfId="0" applyNumberFormat="1" applyFont="1" applyFill="1" applyAlignment="1">
      <alignment horizontal="left"/>
    </xf>
    <xf numFmtId="165" fontId="34" fillId="8" borderId="0" xfId="0" applyNumberFormat="1" applyFont="1" applyFill="1" applyAlignment="1">
      <alignment horizontal="left"/>
    </xf>
    <xf numFmtId="164" fontId="4" fillId="8" borderId="0" xfId="0" applyNumberFormat="1" applyFont="1" applyFill="1" applyBorder="1" applyAlignment="1" applyProtection="1">
      <alignment horizontal="left"/>
      <protection locked="0"/>
    </xf>
    <xf numFmtId="0" fontId="4" fillId="8" borderId="0" xfId="0" applyFont="1" applyFill="1" applyAlignment="1">
      <alignment horizontal="left"/>
    </xf>
    <xf numFmtId="0" fontId="34" fillId="8" borderId="0" xfId="0" applyFont="1" applyFill="1" applyAlignment="1">
      <alignment horizontal="left"/>
    </xf>
    <xf numFmtId="165" fontId="4" fillId="8" borderId="0" xfId="0" applyNumberFormat="1" applyFont="1" applyFill="1" applyProtection="1">
      <protection locked="0"/>
    </xf>
    <xf numFmtId="166" fontId="4" fillId="8" borderId="0" xfId="0" applyNumberFormat="1" applyFont="1" applyFill="1" applyAlignment="1">
      <alignment horizontal="left"/>
    </xf>
    <xf numFmtId="165" fontId="4" fillId="8" borderId="0" xfId="4" applyFont="1" applyFill="1" applyAlignment="1">
      <alignment horizontal="left"/>
    </xf>
    <xf numFmtId="166" fontId="34" fillId="8" borderId="0" xfId="0" applyNumberFormat="1" applyFont="1" applyFill="1" applyAlignment="1">
      <alignment horizontal="left"/>
    </xf>
    <xf numFmtId="165" fontId="4" fillId="8" borderId="0" xfId="4" applyFont="1" applyFill="1" applyAlignment="1">
      <alignment horizontal="center"/>
    </xf>
    <xf numFmtId="165" fontId="64" fillId="8" borderId="13" xfId="4" applyFont="1" applyFill="1" applyBorder="1" applyAlignment="1" applyProtection="1">
      <alignment horizontal="right"/>
    </xf>
    <xf numFmtId="165" fontId="64" fillId="4" borderId="14" xfId="4" applyFont="1" applyFill="1" applyBorder="1" applyAlignment="1" applyProtection="1">
      <alignment horizontal="center"/>
      <protection locked="0"/>
    </xf>
    <xf numFmtId="165" fontId="64" fillId="8" borderId="14" xfId="4" applyFont="1" applyFill="1" applyBorder="1" applyAlignment="1" applyProtection="1">
      <alignment horizontal="center"/>
    </xf>
    <xf numFmtId="165" fontId="63" fillId="7" borderId="13" xfId="4" applyFont="1" applyFill="1" applyBorder="1" applyAlignment="1" applyProtection="1">
      <alignment horizontal="right"/>
    </xf>
    <xf numFmtId="165" fontId="64" fillId="3" borderId="13" xfId="4" applyFont="1" applyFill="1" applyBorder="1" applyAlignment="1" applyProtection="1">
      <alignment horizontal="right"/>
    </xf>
    <xf numFmtId="0" fontId="68" fillId="3" borderId="10" xfId="0" applyFont="1" applyFill="1" applyBorder="1" applyAlignment="1" applyProtection="1">
      <alignment horizontal="left" indent="8"/>
    </xf>
    <xf numFmtId="0" fontId="64" fillId="3" borderId="10" xfId="0" applyFont="1" applyFill="1" applyBorder="1" applyAlignment="1" applyProtection="1">
      <alignment horizontal="left" indent="8"/>
    </xf>
    <xf numFmtId="0" fontId="65" fillId="3" borderId="13" xfId="0" applyFont="1" applyFill="1" applyBorder="1" applyAlignment="1" applyProtection="1">
      <alignment horizontal="left" indent="8"/>
    </xf>
    <xf numFmtId="0" fontId="64" fillId="3" borderId="13" xfId="0" applyFont="1" applyFill="1" applyBorder="1" applyAlignment="1" applyProtection="1">
      <alignment horizontal="left" indent="8"/>
    </xf>
    <xf numFmtId="0" fontId="64" fillId="3" borderId="13" xfId="0" quotePrefix="1" applyFont="1" applyFill="1" applyBorder="1" applyAlignment="1" applyProtection="1">
      <alignment horizontal="left" indent="8"/>
    </xf>
    <xf numFmtId="0" fontId="69" fillId="3" borderId="13" xfId="0" applyFont="1" applyFill="1" applyBorder="1" applyAlignment="1" applyProtection="1">
      <alignment horizontal="left" indent="8"/>
    </xf>
    <xf numFmtId="0" fontId="65" fillId="3" borderId="13" xfId="0" applyNumberFormat="1" applyFont="1" applyFill="1" applyBorder="1" applyAlignment="1" applyProtection="1">
      <alignment horizontal="left" indent="8"/>
    </xf>
    <xf numFmtId="0" fontId="63" fillId="3" borderId="13" xfId="0" applyFont="1" applyFill="1" applyBorder="1" applyAlignment="1" applyProtection="1">
      <alignment horizontal="left" indent="8"/>
    </xf>
    <xf numFmtId="168" fontId="4" fillId="0" borderId="0" xfId="0" applyNumberFormat="1" applyFont="1" applyFill="1" applyAlignment="1">
      <alignment horizontal="right"/>
    </xf>
    <xf numFmtId="10" fontId="4" fillId="0" borderId="0" xfId="2" applyNumberFormat="1" applyFont="1" applyFill="1" applyAlignment="1">
      <alignment horizontal="right"/>
    </xf>
    <xf numFmtId="165" fontId="77" fillId="0" borderId="0" xfId="0" applyNumberFormat="1" applyFont="1" applyFill="1" applyBorder="1" applyAlignment="1" applyProtection="1">
      <alignment horizontal="left"/>
      <protection locked="0"/>
    </xf>
    <xf numFmtId="165" fontId="76" fillId="0" borderId="0" xfId="0" applyNumberFormat="1" applyFont="1" applyFill="1" applyBorder="1" applyAlignment="1" applyProtection="1"/>
    <xf numFmtId="165" fontId="77" fillId="0" borderId="0" xfId="0" applyNumberFormat="1" applyFont="1" applyFill="1" applyBorder="1" applyAlignment="1" applyProtection="1"/>
    <xf numFmtId="165" fontId="4" fillId="9" borderId="0" xfId="0" applyNumberFormat="1" applyFont="1" applyFill="1" applyBorder="1" applyProtection="1">
      <protection locked="0"/>
    </xf>
    <xf numFmtId="165" fontId="5" fillId="9" borderId="0" xfId="0" applyNumberFormat="1" applyFont="1" applyFill="1" applyBorder="1" applyProtection="1">
      <protection locked="0"/>
    </xf>
    <xf numFmtId="164" fontId="4" fillId="9" borderId="0" xfId="0" applyNumberFormat="1" applyFont="1" applyFill="1" applyBorder="1" applyAlignment="1" applyProtection="1">
      <alignment horizontal="center"/>
      <protection locked="0"/>
    </xf>
    <xf numFmtId="0" fontId="76" fillId="0" borderId="0" xfId="0" applyFont="1" applyFill="1" applyAlignment="1">
      <alignment horizontal="left"/>
    </xf>
    <xf numFmtId="0" fontId="4" fillId="8" borderId="0" xfId="0" applyFont="1" applyFill="1" applyBorder="1" applyAlignment="1" applyProtection="1">
      <alignment horizontal="left"/>
    </xf>
    <xf numFmtId="165" fontId="4" fillId="8" borderId="0" xfId="0" applyNumberFormat="1" applyFont="1" applyFill="1" applyBorder="1" applyProtection="1">
      <protection locked="0"/>
    </xf>
    <xf numFmtId="44" fontId="4" fillId="0" borderId="0" xfId="0" applyNumberFormat="1" applyFont="1" applyFill="1" applyAlignment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4" borderId="18" xfId="0" applyFont="1" applyFill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</xf>
    <xf numFmtId="2" fontId="4" fillId="8" borderId="13" xfId="0" applyNumberFormat="1" applyFont="1" applyFill="1" applyBorder="1" applyAlignment="1" applyProtection="1">
      <alignment horizontal="center"/>
    </xf>
    <xf numFmtId="0" fontId="14" fillId="3" borderId="0" xfId="0" applyFont="1" applyFill="1" applyBorder="1" applyProtection="1"/>
    <xf numFmtId="167" fontId="8" fillId="7" borderId="13" xfId="0" applyNumberFormat="1" applyFont="1" applyFill="1" applyBorder="1" applyProtection="1"/>
    <xf numFmtId="0" fontId="13" fillId="3" borderId="14" xfId="0" applyFont="1" applyFill="1" applyBorder="1" applyProtection="1"/>
    <xf numFmtId="164" fontId="6" fillId="7" borderId="13" xfId="1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protection locked="0"/>
    </xf>
    <xf numFmtId="10" fontId="4" fillId="0" borderId="0" xfId="2" applyNumberFormat="1" applyFont="1" applyFill="1" applyAlignment="1">
      <alignment horizontal="left"/>
    </xf>
    <xf numFmtId="0" fontId="76" fillId="3" borderId="0" xfId="0" applyFont="1" applyFill="1" applyBorder="1" applyProtection="1"/>
    <xf numFmtId="0" fontId="4" fillId="4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167" fontId="38" fillId="3" borderId="13" xfId="4" applyNumberFormat="1" applyFont="1" applyFill="1" applyBorder="1" applyProtection="1"/>
    <xf numFmtId="171" fontId="29" fillId="4" borderId="0" xfId="0" applyNumberFormat="1" applyFont="1" applyFill="1"/>
    <xf numFmtId="0" fontId="4" fillId="0" borderId="0" xfId="0" applyFont="1" applyFill="1" applyBorder="1" applyAlignment="1" applyProtection="1">
      <alignment horizontal="center"/>
      <protection locked="0"/>
    </xf>
    <xf numFmtId="169" fontId="4" fillId="0" borderId="0" xfId="0" applyNumberFormat="1" applyFont="1" applyFill="1" applyBorder="1" applyAlignment="1" applyProtection="1">
      <alignment horizontal="center"/>
      <protection locked="0"/>
    </xf>
    <xf numFmtId="169" fontId="4" fillId="2" borderId="0" xfId="0" applyNumberFormat="1" applyFont="1" applyFill="1" applyBorder="1" applyAlignment="1" applyProtection="1">
      <alignment horizontal="center"/>
      <protection locked="0"/>
    </xf>
    <xf numFmtId="170" fontId="5" fillId="0" borderId="0" xfId="2" applyNumberFormat="1" applyFont="1" applyFill="1" applyAlignment="1">
      <alignment horizontal="center"/>
    </xf>
    <xf numFmtId="14" fontId="5" fillId="0" borderId="0" xfId="0" applyNumberFormat="1" applyFont="1" applyFill="1" applyAlignment="1">
      <alignment horizontal="center"/>
    </xf>
    <xf numFmtId="17" fontId="5" fillId="0" borderId="0" xfId="0" applyNumberFormat="1" applyFont="1" applyFill="1" applyAlignment="1">
      <alignment horizontal="center"/>
    </xf>
    <xf numFmtId="4" fontId="4" fillId="8" borderId="0" xfId="0" applyNumberFormat="1" applyFont="1" applyFill="1" applyBorder="1" applyAlignment="1" applyProtection="1">
      <alignment horizontal="center"/>
      <protection locked="0"/>
    </xf>
    <xf numFmtId="165" fontId="4" fillId="8" borderId="0" xfId="1" applyFont="1" applyFill="1" applyAlignment="1">
      <alignment horizontal="center"/>
    </xf>
    <xf numFmtId="165" fontId="4" fillId="0" borderId="0" xfId="1" applyFont="1" applyFill="1" applyAlignment="1">
      <alignment horizontal="center"/>
    </xf>
    <xf numFmtId="165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10" fontId="4" fillId="0" borderId="0" xfId="2" applyNumberFormat="1" applyFont="1" applyFill="1" applyBorder="1" applyAlignment="1" applyProtection="1">
      <alignment horizontal="center"/>
      <protection locked="0"/>
    </xf>
    <xf numFmtId="166" fontId="4" fillId="8" borderId="0" xfId="0" applyNumberFormat="1" applyFont="1" applyFill="1" applyAlignment="1" applyProtection="1">
      <alignment horizontal="center"/>
      <protection locked="0"/>
    </xf>
    <xf numFmtId="10" fontId="5" fillId="0" borderId="0" xfId="2" applyNumberFormat="1" applyFont="1" applyFill="1" applyAlignment="1">
      <alignment horizontal="center"/>
    </xf>
    <xf numFmtId="165" fontId="4" fillId="8" borderId="0" xfId="0" applyNumberFormat="1" applyFont="1" applyFill="1" applyAlignment="1">
      <alignment horizontal="center"/>
    </xf>
    <xf numFmtId="0" fontId="4" fillId="8" borderId="0" xfId="0" applyFont="1" applyFill="1" applyBorder="1" applyAlignment="1" applyProtection="1">
      <alignment horizontal="center"/>
      <protection locked="0"/>
    </xf>
    <xf numFmtId="0" fontId="4" fillId="8" borderId="0" xfId="0" applyFont="1" applyFill="1" applyAlignment="1">
      <alignment horizontal="center"/>
    </xf>
    <xf numFmtId="166" fontId="4" fillId="8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 applyProtection="1">
      <alignment horizontal="center" vertical="top" wrapText="1"/>
    </xf>
    <xf numFmtId="4" fontId="4" fillId="0" borderId="0" xfId="0" applyNumberFormat="1" applyFont="1" applyFill="1" applyBorder="1" applyAlignment="1" applyProtection="1">
      <alignment horizontal="center"/>
    </xf>
    <xf numFmtId="10" fontId="4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</xf>
    <xf numFmtId="168" fontId="4" fillId="0" borderId="0" xfId="0" applyNumberFormat="1" applyFont="1" applyFill="1" applyAlignment="1" applyProtection="1">
      <alignment horizontal="center"/>
    </xf>
    <xf numFmtId="165" fontId="6" fillId="0" borderId="0" xfId="0" applyNumberFormat="1" applyFont="1" applyFill="1" applyAlignment="1">
      <alignment horizontal="left"/>
    </xf>
    <xf numFmtId="165" fontId="5" fillId="0" borderId="0" xfId="0" applyNumberFormat="1" applyFont="1" applyFill="1" applyAlignment="1">
      <alignment horizontal="center"/>
    </xf>
    <xf numFmtId="0" fontId="40" fillId="0" borderId="0" xfId="5" applyFill="1" applyAlignment="1" applyProtection="1">
      <alignment horizontal="left"/>
    </xf>
    <xf numFmtId="10" fontId="17" fillId="0" borderId="0" xfId="2" applyNumberFormat="1" applyFont="1" applyFill="1" applyAlignment="1">
      <alignment horizontal="left"/>
    </xf>
    <xf numFmtId="0" fontId="43" fillId="0" borderId="0" xfId="0" applyFont="1" applyFill="1" applyBorder="1" applyAlignment="1" applyProtection="1">
      <alignment horizontal="center"/>
      <protection locked="0"/>
    </xf>
    <xf numFmtId="169" fontId="43" fillId="0" borderId="0" xfId="0" applyNumberFormat="1" applyFont="1" applyFill="1" applyBorder="1" applyAlignment="1" applyProtection="1">
      <alignment horizontal="center"/>
      <protection locked="0"/>
    </xf>
    <xf numFmtId="0" fontId="43" fillId="0" borderId="0" xfId="0" applyFont="1" applyFill="1" applyBorder="1" applyAlignment="1" applyProtection="1">
      <alignment horizontal="center"/>
    </xf>
    <xf numFmtId="169" fontId="43" fillId="2" borderId="0" xfId="0" applyNumberFormat="1" applyFont="1" applyFill="1" applyBorder="1" applyAlignment="1" applyProtection="1">
      <alignment horizontal="center"/>
      <protection locked="0"/>
    </xf>
    <xf numFmtId="0" fontId="43" fillId="0" borderId="0" xfId="0" applyFont="1" applyFill="1" applyAlignment="1">
      <alignment horizontal="center"/>
    </xf>
    <xf numFmtId="170" fontId="38" fillId="0" borderId="0" xfId="2" applyNumberFormat="1" applyFont="1" applyFill="1" applyAlignment="1">
      <alignment horizontal="center"/>
    </xf>
    <xf numFmtId="14" fontId="38" fillId="0" borderId="0" xfId="0" applyNumberFormat="1" applyFont="1" applyFill="1" applyAlignment="1">
      <alignment horizontal="center"/>
    </xf>
    <xf numFmtId="17" fontId="38" fillId="0" borderId="0" xfId="0" applyNumberFormat="1" applyFont="1" applyFill="1" applyAlignment="1">
      <alignment horizontal="center"/>
    </xf>
    <xf numFmtId="165" fontId="44" fillId="0" borderId="0" xfId="0" applyNumberFormat="1" applyFont="1" applyFill="1" applyAlignment="1">
      <alignment horizontal="center"/>
    </xf>
    <xf numFmtId="165" fontId="45" fillId="0" borderId="0" xfId="0" applyNumberFormat="1" applyFont="1" applyFill="1" applyAlignment="1">
      <alignment horizontal="center"/>
    </xf>
    <xf numFmtId="4" fontId="43" fillId="8" borderId="0" xfId="0" applyNumberFormat="1" applyFont="1" applyFill="1" applyBorder="1" applyAlignment="1" applyProtection="1">
      <alignment horizontal="center"/>
      <protection locked="0"/>
    </xf>
    <xf numFmtId="165" fontId="43" fillId="8" borderId="0" xfId="0" applyNumberFormat="1" applyFont="1" applyFill="1" applyBorder="1" applyAlignment="1" applyProtection="1">
      <alignment horizontal="center"/>
      <protection locked="0"/>
    </xf>
    <xf numFmtId="165" fontId="43" fillId="8" borderId="0" xfId="1" applyFont="1" applyFill="1" applyAlignment="1">
      <alignment horizontal="center"/>
    </xf>
    <xf numFmtId="165" fontId="43" fillId="0" borderId="0" xfId="1" applyFont="1" applyFill="1" applyAlignment="1">
      <alignment horizontal="center"/>
    </xf>
    <xf numFmtId="165" fontId="43" fillId="0" borderId="0" xfId="0" applyNumberFormat="1" applyFont="1" applyFill="1" applyBorder="1" applyAlignment="1" applyProtection="1">
      <alignment horizontal="center"/>
    </xf>
    <xf numFmtId="0" fontId="43" fillId="0" borderId="0" xfId="0" applyNumberFormat="1" applyFont="1" applyFill="1" applyBorder="1" applyAlignment="1" applyProtection="1">
      <alignment horizontal="center"/>
      <protection locked="0"/>
    </xf>
    <xf numFmtId="165" fontId="43" fillId="0" borderId="0" xfId="4" applyFont="1" applyFill="1" applyBorder="1" applyAlignment="1" applyProtection="1">
      <alignment horizontal="center"/>
    </xf>
    <xf numFmtId="10" fontId="43" fillId="0" borderId="0" xfId="2" applyNumberFormat="1" applyFont="1" applyFill="1" applyBorder="1" applyAlignment="1" applyProtection="1">
      <alignment horizontal="center"/>
      <protection locked="0"/>
    </xf>
    <xf numFmtId="166" fontId="43" fillId="8" borderId="0" xfId="0" applyNumberFormat="1" applyFont="1" applyFill="1" applyAlignment="1" applyProtection="1">
      <alignment horizontal="center"/>
      <protection locked="0"/>
    </xf>
    <xf numFmtId="0" fontId="45" fillId="0" borderId="0" xfId="0" applyFont="1" applyFill="1" applyAlignment="1">
      <alignment horizontal="center"/>
    </xf>
    <xf numFmtId="165" fontId="43" fillId="8" borderId="0" xfId="0" applyNumberFormat="1" applyFont="1" applyFill="1" applyAlignment="1">
      <alignment horizontal="center"/>
    </xf>
    <xf numFmtId="0" fontId="43" fillId="8" borderId="0" xfId="0" applyFont="1" applyFill="1" applyBorder="1" applyAlignment="1" applyProtection="1">
      <alignment horizontal="center"/>
      <protection locked="0"/>
    </xf>
    <xf numFmtId="0" fontId="43" fillId="8" borderId="0" xfId="0" applyFont="1" applyFill="1" applyAlignment="1">
      <alignment horizontal="center"/>
    </xf>
    <xf numFmtId="166" fontId="43" fillId="8" borderId="0" xfId="0" applyNumberFormat="1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4" fontId="43" fillId="0" borderId="0" xfId="0" applyNumberFormat="1" applyFont="1" applyFill="1" applyBorder="1" applyAlignment="1" applyProtection="1">
      <alignment horizontal="center" vertical="top" wrapText="1"/>
    </xf>
    <xf numFmtId="4" fontId="43" fillId="0" borderId="0" xfId="0" applyNumberFormat="1" applyFont="1" applyFill="1" applyBorder="1" applyAlignment="1" applyProtection="1">
      <alignment horizontal="center"/>
    </xf>
    <xf numFmtId="10" fontId="43" fillId="0" borderId="0" xfId="0" applyNumberFormat="1" applyFont="1" applyFill="1" applyAlignment="1" applyProtection="1">
      <alignment horizontal="center"/>
      <protection locked="0"/>
    </xf>
    <xf numFmtId="0" fontId="45" fillId="0" borderId="0" xfId="0" applyFont="1" applyFill="1" applyAlignment="1" applyProtection="1">
      <alignment horizontal="center"/>
    </xf>
    <xf numFmtId="168" fontId="43" fillId="0" borderId="0" xfId="0" applyNumberFormat="1" applyFont="1" applyFill="1" applyAlignment="1" applyProtection="1">
      <alignment horizontal="center"/>
    </xf>
    <xf numFmtId="0" fontId="34" fillId="0" borderId="0" xfId="0" applyFont="1" applyFill="1" applyBorder="1" applyAlignment="1" applyProtection="1">
      <alignment horizontal="center"/>
      <protection locked="0"/>
    </xf>
    <xf numFmtId="169" fontId="34" fillId="0" borderId="0" xfId="0" applyNumberFormat="1" applyFont="1" applyFill="1" applyBorder="1" applyAlignment="1" applyProtection="1">
      <alignment horizontal="center"/>
      <protection locked="0"/>
    </xf>
    <xf numFmtId="0" fontId="34" fillId="0" borderId="0" xfId="0" applyFont="1" applyFill="1" applyBorder="1" applyAlignment="1" applyProtection="1">
      <alignment horizontal="center"/>
    </xf>
    <xf numFmtId="169" fontId="34" fillId="2" borderId="0" xfId="0" applyNumberFormat="1" applyFont="1" applyFill="1" applyBorder="1" applyAlignment="1" applyProtection="1">
      <alignment horizontal="center"/>
      <protection locked="0"/>
    </xf>
    <xf numFmtId="170" fontId="46" fillId="0" borderId="0" xfId="2" applyNumberFormat="1" applyFont="1" applyFill="1" applyAlignment="1">
      <alignment horizontal="center"/>
    </xf>
    <xf numFmtId="14" fontId="46" fillId="0" borderId="0" xfId="0" applyNumberFormat="1" applyFont="1" applyFill="1" applyAlignment="1">
      <alignment horizontal="center"/>
    </xf>
    <xf numFmtId="17" fontId="46" fillId="0" borderId="0" xfId="0" applyNumberFormat="1" applyFont="1" applyFill="1" applyAlignment="1">
      <alignment horizontal="center"/>
    </xf>
    <xf numFmtId="165" fontId="46" fillId="0" borderId="0" xfId="0" applyNumberFormat="1" applyFont="1" applyFill="1" applyAlignment="1">
      <alignment horizontal="center"/>
    </xf>
    <xf numFmtId="165" fontId="34" fillId="0" borderId="0" xfId="0" applyNumberFormat="1" applyFont="1" applyFill="1" applyAlignment="1">
      <alignment horizontal="center"/>
    </xf>
    <xf numFmtId="4" fontId="34" fillId="8" borderId="0" xfId="0" applyNumberFormat="1" applyFont="1" applyFill="1" applyBorder="1" applyAlignment="1" applyProtection="1">
      <alignment horizontal="center"/>
      <protection locked="0"/>
    </xf>
    <xf numFmtId="165" fontId="34" fillId="8" borderId="0" xfId="0" applyNumberFormat="1" applyFont="1" applyFill="1" applyBorder="1" applyAlignment="1" applyProtection="1">
      <alignment horizontal="center"/>
      <protection locked="0"/>
    </xf>
    <xf numFmtId="165" fontId="34" fillId="8" borderId="0" xfId="1" applyFont="1" applyFill="1" applyAlignment="1">
      <alignment horizontal="center"/>
    </xf>
    <xf numFmtId="165" fontId="34" fillId="0" borderId="0" xfId="1" applyFont="1" applyFill="1" applyAlignment="1">
      <alignment horizontal="center"/>
    </xf>
    <xf numFmtId="165" fontId="34" fillId="0" borderId="0" xfId="0" applyNumberFormat="1" applyFont="1" applyFill="1" applyBorder="1" applyAlignment="1" applyProtection="1">
      <alignment horizontal="center"/>
    </xf>
    <xf numFmtId="0" fontId="34" fillId="0" borderId="0" xfId="0" applyNumberFormat="1" applyFont="1" applyFill="1" applyBorder="1" applyAlignment="1" applyProtection="1">
      <alignment horizontal="center"/>
      <protection locked="0"/>
    </xf>
    <xf numFmtId="10" fontId="34" fillId="0" borderId="0" xfId="2" applyNumberFormat="1" applyFont="1" applyFill="1" applyBorder="1" applyAlignment="1" applyProtection="1">
      <alignment horizontal="center"/>
      <protection locked="0"/>
    </xf>
    <xf numFmtId="166" fontId="34" fillId="8" borderId="0" xfId="0" applyNumberFormat="1" applyFont="1" applyFill="1" applyAlignment="1" applyProtection="1">
      <alignment horizontal="center"/>
      <protection locked="0"/>
    </xf>
    <xf numFmtId="0" fontId="34" fillId="0" borderId="0" xfId="0" applyFont="1" applyFill="1" applyAlignment="1">
      <alignment horizontal="center"/>
    </xf>
    <xf numFmtId="10" fontId="46" fillId="0" borderId="0" xfId="2" applyNumberFormat="1" applyFont="1" applyFill="1" applyAlignment="1">
      <alignment horizontal="center"/>
    </xf>
    <xf numFmtId="165" fontId="34" fillId="8" borderId="0" xfId="0" applyNumberFormat="1" applyFont="1" applyFill="1" applyAlignment="1">
      <alignment horizontal="center"/>
    </xf>
    <xf numFmtId="0" fontId="34" fillId="8" borderId="0" xfId="0" applyFont="1" applyFill="1" applyBorder="1" applyAlignment="1" applyProtection="1">
      <alignment horizontal="center"/>
      <protection locked="0"/>
    </xf>
    <xf numFmtId="0" fontId="34" fillId="8" borderId="0" xfId="0" applyFont="1" applyFill="1" applyAlignment="1">
      <alignment horizontal="center"/>
    </xf>
    <xf numFmtId="166" fontId="34" fillId="8" borderId="0" xfId="0" applyNumberFormat="1" applyFont="1" applyFill="1" applyAlignment="1">
      <alignment horizontal="center"/>
    </xf>
    <xf numFmtId="0" fontId="34" fillId="0" borderId="0" xfId="0" applyFont="1" applyFill="1" applyBorder="1" applyAlignment="1">
      <alignment horizontal="center"/>
    </xf>
    <xf numFmtId="44" fontId="34" fillId="0" borderId="0" xfId="0" applyNumberFormat="1" applyFont="1" applyFill="1" applyAlignment="1">
      <alignment horizontal="center"/>
    </xf>
    <xf numFmtId="165" fontId="34" fillId="0" borderId="0" xfId="4" applyFont="1" applyFill="1" applyAlignment="1">
      <alignment horizontal="center"/>
    </xf>
    <xf numFmtId="4" fontId="34" fillId="0" borderId="0" xfId="0" applyNumberFormat="1" applyFont="1" applyFill="1" applyBorder="1" applyAlignment="1" applyProtection="1">
      <alignment horizontal="center" vertical="top" wrapText="1"/>
    </xf>
    <xf numFmtId="4" fontId="34" fillId="0" borderId="0" xfId="0" applyNumberFormat="1" applyFont="1" applyFill="1" applyBorder="1" applyAlignment="1" applyProtection="1">
      <alignment horizontal="center"/>
    </xf>
    <xf numFmtId="10" fontId="34" fillId="0" borderId="0" xfId="0" applyNumberFormat="1" applyFont="1" applyFill="1" applyAlignment="1" applyProtection="1">
      <alignment horizontal="center"/>
      <protection locked="0"/>
    </xf>
    <xf numFmtId="0" fontId="34" fillId="0" borderId="0" xfId="0" applyFont="1" applyFill="1" applyAlignment="1" applyProtection="1">
      <alignment horizontal="center"/>
    </xf>
    <xf numFmtId="168" fontId="34" fillId="0" borderId="0" xfId="0" applyNumberFormat="1" applyFont="1" applyFill="1" applyAlignment="1" applyProtection="1">
      <alignment horizontal="center"/>
    </xf>
    <xf numFmtId="0" fontId="45" fillId="0" borderId="0" xfId="0" applyFont="1" applyFill="1" applyBorder="1" applyAlignment="1" applyProtection="1">
      <alignment horizontal="center"/>
      <protection locked="0"/>
    </xf>
    <xf numFmtId="169" fontId="45" fillId="0" borderId="0" xfId="0" applyNumberFormat="1" applyFont="1" applyFill="1" applyBorder="1" applyAlignment="1" applyProtection="1">
      <alignment horizontal="center"/>
      <protection locked="0"/>
    </xf>
    <xf numFmtId="0" fontId="45" fillId="0" borderId="0" xfId="0" applyFont="1" applyFill="1" applyBorder="1" applyAlignment="1" applyProtection="1">
      <alignment horizontal="center"/>
    </xf>
    <xf numFmtId="169" fontId="45" fillId="2" borderId="0" xfId="0" applyNumberFormat="1" applyFont="1" applyFill="1" applyBorder="1" applyAlignment="1" applyProtection="1">
      <alignment horizontal="center"/>
      <protection locked="0"/>
    </xf>
    <xf numFmtId="170" fontId="44" fillId="0" borderId="0" xfId="2" applyNumberFormat="1" applyFont="1" applyFill="1" applyAlignment="1">
      <alignment horizontal="center"/>
    </xf>
    <xf numFmtId="14" fontId="44" fillId="0" borderId="0" xfId="0" applyNumberFormat="1" applyFont="1" applyFill="1" applyAlignment="1">
      <alignment horizontal="center"/>
    </xf>
    <xf numFmtId="17" fontId="44" fillId="0" borderId="0" xfId="0" applyNumberFormat="1" applyFont="1" applyFill="1" applyAlignment="1">
      <alignment horizontal="center"/>
    </xf>
    <xf numFmtId="4" fontId="45" fillId="8" borderId="0" xfId="0" applyNumberFormat="1" applyFont="1" applyFill="1" applyBorder="1" applyAlignment="1" applyProtection="1">
      <alignment horizontal="center"/>
      <protection locked="0"/>
    </xf>
    <xf numFmtId="165" fontId="45" fillId="8" borderId="0" xfId="0" applyNumberFormat="1" applyFont="1" applyFill="1" applyBorder="1" applyAlignment="1" applyProtection="1">
      <alignment horizontal="center"/>
      <protection locked="0"/>
    </xf>
    <xf numFmtId="165" fontId="45" fillId="8" borderId="0" xfId="1" applyFont="1" applyFill="1" applyAlignment="1">
      <alignment horizontal="center"/>
    </xf>
    <xf numFmtId="165" fontId="45" fillId="0" borderId="0" xfId="1" applyFont="1" applyFill="1" applyAlignment="1">
      <alignment horizontal="center"/>
    </xf>
    <xf numFmtId="165" fontId="45" fillId="0" borderId="0" xfId="0" applyNumberFormat="1" applyFont="1" applyFill="1" applyBorder="1" applyAlignment="1" applyProtection="1">
      <alignment horizontal="center"/>
    </xf>
    <xf numFmtId="0" fontId="45" fillId="0" borderId="0" xfId="0" applyNumberFormat="1" applyFont="1" applyFill="1" applyBorder="1" applyAlignment="1" applyProtection="1">
      <alignment horizontal="center"/>
      <protection locked="0"/>
    </xf>
    <xf numFmtId="165" fontId="45" fillId="0" borderId="0" xfId="4" applyFont="1" applyFill="1" applyBorder="1" applyAlignment="1" applyProtection="1">
      <alignment horizontal="center"/>
    </xf>
    <xf numFmtId="10" fontId="45" fillId="0" borderId="0" xfId="2" applyNumberFormat="1" applyFont="1" applyFill="1" applyBorder="1" applyAlignment="1" applyProtection="1">
      <alignment horizontal="center"/>
      <protection locked="0"/>
    </xf>
    <xf numFmtId="166" fontId="45" fillId="8" borderId="0" xfId="0" applyNumberFormat="1" applyFont="1" applyFill="1" applyAlignment="1" applyProtection="1">
      <alignment horizontal="center"/>
      <protection locked="0"/>
    </xf>
    <xf numFmtId="165" fontId="45" fillId="8" borderId="0" xfId="0" applyNumberFormat="1" applyFont="1" applyFill="1" applyAlignment="1">
      <alignment horizontal="center"/>
    </xf>
    <xf numFmtId="0" fontId="45" fillId="8" borderId="0" xfId="0" applyFont="1" applyFill="1" applyBorder="1" applyAlignment="1" applyProtection="1">
      <alignment horizontal="center"/>
      <protection locked="0"/>
    </xf>
    <xf numFmtId="0" fontId="45" fillId="8" borderId="0" xfId="0" applyFont="1" applyFill="1" applyAlignment="1">
      <alignment horizontal="center"/>
    </xf>
    <xf numFmtId="166" fontId="45" fillId="8" borderId="0" xfId="0" applyNumberFormat="1" applyFont="1" applyFill="1" applyAlignment="1">
      <alignment horizontal="center"/>
    </xf>
    <xf numFmtId="0" fontId="45" fillId="0" borderId="0" xfId="0" applyFont="1" applyFill="1" applyBorder="1" applyAlignment="1">
      <alignment horizontal="center"/>
    </xf>
    <xf numFmtId="4" fontId="45" fillId="0" borderId="0" xfId="0" applyNumberFormat="1" applyFont="1" applyFill="1" applyBorder="1" applyAlignment="1" applyProtection="1">
      <alignment horizontal="center" vertical="top" wrapText="1"/>
    </xf>
    <xf numFmtId="4" fontId="45" fillId="0" borderId="0" xfId="0" applyNumberFormat="1" applyFont="1" applyFill="1" applyBorder="1" applyAlignment="1" applyProtection="1">
      <alignment horizontal="center"/>
    </xf>
    <xf numFmtId="10" fontId="45" fillId="0" borderId="0" xfId="0" applyNumberFormat="1" applyFont="1" applyFill="1" applyAlignment="1" applyProtection="1">
      <alignment horizontal="center"/>
      <protection locked="0"/>
    </xf>
    <xf numFmtId="168" fontId="45" fillId="0" borderId="0" xfId="0" applyNumberFormat="1" applyFont="1" applyFill="1" applyAlignment="1" applyProtection="1">
      <alignment horizontal="center"/>
    </xf>
    <xf numFmtId="0" fontId="4" fillId="4" borderId="14" xfId="0" applyFont="1" applyFill="1" applyBorder="1" applyAlignment="1" applyProtection="1">
      <alignment horizontal="left"/>
    </xf>
    <xf numFmtId="0" fontId="4" fillId="4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78" fillId="10" borderId="0" xfId="0" applyFont="1" applyFill="1"/>
    <xf numFmtId="0" fontId="79" fillId="10" borderId="0" xfId="0" applyFont="1" applyFill="1"/>
    <xf numFmtId="0" fontId="4" fillId="4" borderId="14" xfId="0" applyFont="1" applyFill="1" applyBorder="1" applyAlignment="1" applyProtection="1">
      <alignment horizontal="left"/>
    </xf>
    <xf numFmtId="0" fontId="4" fillId="4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center"/>
    </xf>
    <xf numFmtId="0" fontId="30" fillId="0" borderId="0" xfId="0" applyFont="1" applyAlignment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13" xfId="0" applyFont="1" applyFill="1" applyBorder="1" applyAlignment="1" applyProtection="1">
      <alignment horizontal="left"/>
    </xf>
  </cellXfs>
  <cellStyles count="8">
    <cellStyle name="Euro" xfId="1"/>
    <cellStyle name="Hyperlink" xfId="5" builtinId="8"/>
    <cellStyle name="Procent" xfId="2" builtinId="5"/>
    <cellStyle name="Standaard" xfId="0" builtinId="0"/>
    <cellStyle name="Standaard 2" xfId="6"/>
    <cellStyle name="Standaard 3" xfId="3"/>
    <cellStyle name="Standaard 3 2" xfId="7"/>
    <cellStyle name="Valuta" xfId="4" builtinId="4"/>
  </cellStyles>
  <dxfs count="0"/>
  <tableStyles count="0" defaultTableStyle="TableStyleMedium9" defaultPivotStyle="PivotStyleLight16"/>
  <colors>
    <mruColors>
      <color rgb="FFFFFFCC"/>
      <color rgb="FFFFFF99"/>
      <color rgb="FFFFFF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338978</xdr:colOff>
      <xdr:row>2</xdr:row>
      <xdr:rowOff>107576</xdr:rowOff>
    </xdr:from>
    <xdr:to>
      <xdr:col>12</xdr:col>
      <xdr:colOff>35858</xdr:colOff>
      <xdr:row>4</xdr:row>
      <xdr:rowOff>37538</xdr:rowOff>
    </xdr:to>
    <xdr:pic>
      <xdr:nvPicPr>
        <xdr:cNvPr id="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9519" y="466164"/>
          <a:ext cx="1176057" cy="3423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59</xdr:row>
      <xdr:rowOff>0</xdr:rowOff>
    </xdr:from>
    <xdr:to>
      <xdr:col>13</xdr:col>
      <xdr:colOff>142875</xdr:colOff>
      <xdr:row>59</xdr:row>
      <xdr:rowOff>0</xdr:rowOff>
    </xdr:to>
    <xdr:pic>
      <xdr:nvPicPr>
        <xdr:cNvPr id="113671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4050" y="10106025"/>
          <a:ext cx="3000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59</xdr:row>
      <xdr:rowOff>0</xdr:rowOff>
    </xdr:from>
    <xdr:to>
      <xdr:col>13</xdr:col>
      <xdr:colOff>142875</xdr:colOff>
      <xdr:row>59</xdr:row>
      <xdr:rowOff>0</xdr:rowOff>
    </xdr:to>
    <xdr:pic>
      <xdr:nvPicPr>
        <xdr:cNvPr id="112644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4050" y="10106025"/>
          <a:ext cx="3000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59</xdr:row>
      <xdr:rowOff>0</xdr:rowOff>
    </xdr:from>
    <xdr:to>
      <xdr:col>13</xdr:col>
      <xdr:colOff>142875</xdr:colOff>
      <xdr:row>59</xdr:row>
      <xdr:rowOff>0</xdr:rowOff>
    </xdr:to>
    <xdr:pic>
      <xdr:nvPicPr>
        <xdr:cNvPr id="119812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4050" y="10106025"/>
          <a:ext cx="3000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59</xdr:row>
      <xdr:rowOff>0</xdr:rowOff>
    </xdr:from>
    <xdr:to>
      <xdr:col>13</xdr:col>
      <xdr:colOff>142875</xdr:colOff>
      <xdr:row>59</xdr:row>
      <xdr:rowOff>0</xdr:rowOff>
    </xdr:to>
    <xdr:pic>
      <xdr:nvPicPr>
        <xdr:cNvPr id="118788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4050" y="10106025"/>
          <a:ext cx="3000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59</xdr:row>
      <xdr:rowOff>0</xdr:rowOff>
    </xdr:from>
    <xdr:to>
      <xdr:col>13</xdr:col>
      <xdr:colOff>142875</xdr:colOff>
      <xdr:row>59</xdr:row>
      <xdr:rowOff>0</xdr:rowOff>
    </xdr:to>
    <xdr:pic>
      <xdr:nvPicPr>
        <xdr:cNvPr id="117764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4050" y="10106025"/>
          <a:ext cx="3000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59</xdr:row>
      <xdr:rowOff>0</xdr:rowOff>
    </xdr:from>
    <xdr:to>
      <xdr:col>13</xdr:col>
      <xdr:colOff>142875</xdr:colOff>
      <xdr:row>59</xdr:row>
      <xdr:rowOff>0</xdr:rowOff>
    </xdr:to>
    <xdr:pic>
      <xdr:nvPicPr>
        <xdr:cNvPr id="116740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4050" y="10106025"/>
          <a:ext cx="3000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59</xdr:row>
      <xdr:rowOff>0</xdr:rowOff>
    </xdr:from>
    <xdr:to>
      <xdr:col>13</xdr:col>
      <xdr:colOff>142875</xdr:colOff>
      <xdr:row>59</xdr:row>
      <xdr:rowOff>0</xdr:rowOff>
    </xdr:to>
    <xdr:pic>
      <xdr:nvPicPr>
        <xdr:cNvPr id="115716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4050" y="10106025"/>
          <a:ext cx="3000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59</xdr:row>
      <xdr:rowOff>0</xdr:rowOff>
    </xdr:from>
    <xdr:to>
      <xdr:col>13</xdr:col>
      <xdr:colOff>142875</xdr:colOff>
      <xdr:row>59</xdr:row>
      <xdr:rowOff>0</xdr:rowOff>
    </xdr:to>
    <xdr:pic>
      <xdr:nvPicPr>
        <xdr:cNvPr id="114692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4050" y="10106025"/>
          <a:ext cx="3000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59</xdr:row>
      <xdr:rowOff>0</xdr:rowOff>
    </xdr:from>
    <xdr:to>
      <xdr:col>13</xdr:col>
      <xdr:colOff>142875</xdr:colOff>
      <xdr:row>59</xdr:row>
      <xdr:rowOff>0</xdr:rowOff>
    </xdr:to>
    <xdr:pic>
      <xdr:nvPicPr>
        <xdr:cNvPr id="2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9620250"/>
          <a:ext cx="391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59</xdr:row>
      <xdr:rowOff>0</xdr:rowOff>
    </xdr:from>
    <xdr:to>
      <xdr:col>13</xdr:col>
      <xdr:colOff>142875</xdr:colOff>
      <xdr:row>59</xdr:row>
      <xdr:rowOff>0</xdr:rowOff>
    </xdr:to>
    <xdr:pic>
      <xdr:nvPicPr>
        <xdr:cNvPr id="2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9620250"/>
          <a:ext cx="391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64617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4050" y="10915650"/>
          <a:ext cx="3000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59</xdr:row>
      <xdr:rowOff>0</xdr:rowOff>
    </xdr:from>
    <xdr:to>
      <xdr:col>13</xdr:col>
      <xdr:colOff>142875</xdr:colOff>
      <xdr:row>59</xdr:row>
      <xdr:rowOff>0</xdr:rowOff>
    </xdr:to>
    <xdr:pic>
      <xdr:nvPicPr>
        <xdr:cNvPr id="2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9620250"/>
          <a:ext cx="391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59</xdr:row>
      <xdr:rowOff>0</xdr:rowOff>
    </xdr:from>
    <xdr:to>
      <xdr:col>13</xdr:col>
      <xdr:colOff>142875</xdr:colOff>
      <xdr:row>59</xdr:row>
      <xdr:rowOff>0</xdr:rowOff>
    </xdr:to>
    <xdr:pic>
      <xdr:nvPicPr>
        <xdr:cNvPr id="2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9620250"/>
          <a:ext cx="391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59</xdr:row>
      <xdr:rowOff>0</xdr:rowOff>
    </xdr:from>
    <xdr:to>
      <xdr:col>13</xdr:col>
      <xdr:colOff>142875</xdr:colOff>
      <xdr:row>59</xdr:row>
      <xdr:rowOff>0</xdr:rowOff>
    </xdr:to>
    <xdr:pic>
      <xdr:nvPicPr>
        <xdr:cNvPr id="2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9620250"/>
          <a:ext cx="391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59</xdr:row>
      <xdr:rowOff>0</xdr:rowOff>
    </xdr:from>
    <xdr:to>
      <xdr:col>13</xdr:col>
      <xdr:colOff>142875</xdr:colOff>
      <xdr:row>59</xdr:row>
      <xdr:rowOff>0</xdr:rowOff>
    </xdr:to>
    <xdr:pic>
      <xdr:nvPicPr>
        <xdr:cNvPr id="2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9620250"/>
          <a:ext cx="391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59</xdr:row>
      <xdr:rowOff>0</xdr:rowOff>
    </xdr:from>
    <xdr:to>
      <xdr:col>13</xdr:col>
      <xdr:colOff>142875</xdr:colOff>
      <xdr:row>59</xdr:row>
      <xdr:rowOff>0</xdr:rowOff>
    </xdr:to>
    <xdr:pic>
      <xdr:nvPicPr>
        <xdr:cNvPr id="2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9620250"/>
          <a:ext cx="391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59</xdr:row>
      <xdr:rowOff>0</xdr:rowOff>
    </xdr:from>
    <xdr:to>
      <xdr:col>13</xdr:col>
      <xdr:colOff>142875</xdr:colOff>
      <xdr:row>59</xdr:row>
      <xdr:rowOff>0</xdr:rowOff>
    </xdr:to>
    <xdr:pic>
      <xdr:nvPicPr>
        <xdr:cNvPr id="2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9620250"/>
          <a:ext cx="391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59</xdr:row>
      <xdr:rowOff>0</xdr:rowOff>
    </xdr:from>
    <xdr:to>
      <xdr:col>13</xdr:col>
      <xdr:colOff>142875</xdr:colOff>
      <xdr:row>59</xdr:row>
      <xdr:rowOff>0</xdr:rowOff>
    </xdr:to>
    <xdr:pic>
      <xdr:nvPicPr>
        <xdr:cNvPr id="2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9620250"/>
          <a:ext cx="391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58</xdr:row>
      <xdr:rowOff>0</xdr:rowOff>
    </xdr:from>
    <xdr:to>
      <xdr:col>13</xdr:col>
      <xdr:colOff>142875</xdr:colOff>
      <xdr:row>58</xdr:row>
      <xdr:rowOff>0</xdr:rowOff>
    </xdr:to>
    <xdr:pic>
      <xdr:nvPicPr>
        <xdr:cNvPr id="105476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4050" y="9944100"/>
          <a:ext cx="3000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58</xdr:row>
      <xdr:rowOff>0</xdr:rowOff>
    </xdr:from>
    <xdr:to>
      <xdr:col>13</xdr:col>
      <xdr:colOff>142875</xdr:colOff>
      <xdr:row>58</xdr:row>
      <xdr:rowOff>0</xdr:rowOff>
    </xdr:to>
    <xdr:pic>
      <xdr:nvPicPr>
        <xdr:cNvPr id="106504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4050" y="9944100"/>
          <a:ext cx="3000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58</xdr:row>
      <xdr:rowOff>0</xdr:rowOff>
    </xdr:from>
    <xdr:to>
      <xdr:col>13</xdr:col>
      <xdr:colOff>142875</xdr:colOff>
      <xdr:row>58</xdr:row>
      <xdr:rowOff>0</xdr:rowOff>
    </xdr:to>
    <xdr:pic>
      <xdr:nvPicPr>
        <xdr:cNvPr id="107524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4050" y="9944100"/>
          <a:ext cx="3000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58</xdr:row>
      <xdr:rowOff>0</xdr:rowOff>
    </xdr:from>
    <xdr:to>
      <xdr:col>13</xdr:col>
      <xdr:colOff>142875</xdr:colOff>
      <xdr:row>58</xdr:row>
      <xdr:rowOff>0</xdr:rowOff>
    </xdr:to>
    <xdr:pic>
      <xdr:nvPicPr>
        <xdr:cNvPr id="108552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4050" y="9944100"/>
          <a:ext cx="3000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58</xdr:row>
      <xdr:rowOff>0</xdr:rowOff>
    </xdr:from>
    <xdr:to>
      <xdr:col>13</xdr:col>
      <xdr:colOff>142875</xdr:colOff>
      <xdr:row>58</xdr:row>
      <xdr:rowOff>0</xdr:rowOff>
    </xdr:to>
    <xdr:pic>
      <xdr:nvPicPr>
        <xdr:cNvPr id="109572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4050" y="9944100"/>
          <a:ext cx="3000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59</xdr:row>
      <xdr:rowOff>0</xdr:rowOff>
    </xdr:from>
    <xdr:to>
      <xdr:col>13</xdr:col>
      <xdr:colOff>142875</xdr:colOff>
      <xdr:row>59</xdr:row>
      <xdr:rowOff>0</xdr:rowOff>
    </xdr:to>
    <xdr:pic>
      <xdr:nvPicPr>
        <xdr:cNvPr id="110599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4050" y="10106025"/>
          <a:ext cx="3000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59</xdr:row>
      <xdr:rowOff>0</xdr:rowOff>
    </xdr:from>
    <xdr:to>
      <xdr:col>13</xdr:col>
      <xdr:colOff>142875</xdr:colOff>
      <xdr:row>59</xdr:row>
      <xdr:rowOff>0</xdr:rowOff>
    </xdr:to>
    <xdr:pic>
      <xdr:nvPicPr>
        <xdr:cNvPr id="111620" name="Picture 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4050" y="10106025"/>
          <a:ext cx="3000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13</xdr:col>
      <xdr:colOff>142875</xdr:colOff>
      <xdr:row>64</xdr:row>
      <xdr:rowOff>0</xdr:rowOff>
    </xdr:to>
    <xdr:pic>
      <xdr:nvPicPr>
        <xdr:cNvPr id="3" name="Picture 41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10306050"/>
          <a:ext cx="6543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08000" tIns="118800" rIns="126000" bIns="11880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08000" tIns="118800" rIns="126000" bIns="11880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.goedhart@poraad.n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4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8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9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0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1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2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3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4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6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zoek.officielebekendmakingen.nl/stcrt-2015-33439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29"/>
  <sheetViews>
    <sheetView tabSelected="1" zoomScale="85" zoomScaleNormal="85" zoomScaleSheetLayoutView="100" workbookViewId="0">
      <selection activeCell="C11" sqref="C11"/>
    </sheetView>
  </sheetViews>
  <sheetFormatPr defaultColWidth="9.140625" defaultRowHeight="12.75" x14ac:dyDescent="0.2"/>
  <cols>
    <col min="1" max="1" width="3.7109375" style="316" customWidth="1"/>
    <col min="2" max="2" width="2.7109375" style="316" customWidth="1"/>
    <col min="3" max="10" width="9.140625" style="316"/>
    <col min="11" max="11" width="9.5703125" style="316" bestFit="1" customWidth="1"/>
    <col min="12" max="12" width="12" style="316" bestFit="1" customWidth="1"/>
    <col min="13" max="15" width="9.140625" style="316"/>
    <col min="16" max="16" width="2.7109375" style="316" customWidth="1"/>
    <col min="17" max="16384" width="9.140625" style="316"/>
  </cols>
  <sheetData>
    <row r="4" spans="3:13" ht="18.75" x14ac:dyDescent="0.3">
      <c r="C4" s="466" t="s">
        <v>263</v>
      </c>
      <c r="H4" s="467" t="s">
        <v>239</v>
      </c>
      <c r="I4" s="616">
        <v>43032</v>
      </c>
      <c r="M4" s="317"/>
    </row>
    <row r="5" spans="3:13" x14ac:dyDescent="0.2">
      <c r="C5" s="318"/>
    </row>
    <row r="6" spans="3:13" ht="15" x14ac:dyDescent="0.25">
      <c r="C6" s="734" t="s">
        <v>327</v>
      </c>
    </row>
    <row r="7" spans="3:13" ht="15" x14ac:dyDescent="0.25">
      <c r="C7" s="735" t="s">
        <v>329</v>
      </c>
    </row>
    <row r="8" spans="3:13" ht="15" x14ac:dyDescent="0.25">
      <c r="C8" s="735" t="s">
        <v>328</v>
      </c>
    </row>
    <row r="9" spans="3:13" ht="15" x14ac:dyDescent="0.25">
      <c r="C9" s="734" t="s">
        <v>330</v>
      </c>
    </row>
    <row r="10" spans="3:13" ht="15" x14ac:dyDescent="0.25">
      <c r="C10" s="735" t="s">
        <v>331</v>
      </c>
    </row>
    <row r="11" spans="3:13" ht="15" x14ac:dyDescent="0.25">
      <c r="C11" s="735"/>
    </row>
    <row r="12" spans="3:13" x14ac:dyDescent="0.2">
      <c r="C12" s="318"/>
    </row>
    <row r="13" spans="3:13" x14ac:dyDescent="0.2">
      <c r="C13" s="318" t="s">
        <v>240</v>
      </c>
    </row>
    <row r="14" spans="3:13" x14ac:dyDescent="0.2">
      <c r="C14" s="316" t="s">
        <v>241</v>
      </c>
      <c r="G14" s="319" t="s">
        <v>242</v>
      </c>
      <c r="H14" s="316" t="s">
        <v>243</v>
      </c>
    </row>
    <row r="15" spans="3:13" x14ac:dyDescent="0.2">
      <c r="C15" s="316" t="s">
        <v>244</v>
      </c>
    </row>
    <row r="17" spans="3:6" x14ac:dyDescent="0.2">
      <c r="C17" s="316" t="s">
        <v>324</v>
      </c>
    </row>
    <row r="18" spans="3:6" x14ac:dyDescent="0.2">
      <c r="C18" s="316" t="s">
        <v>325</v>
      </c>
    </row>
    <row r="19" spans="3:6" x14ac:dyDescent="0.2">
      <c r="C19" s="316" t="s">
        <v>326</v>
      </c>
    </row>
    <row r="21" spans="3:6" x14ac:dyDescent="0.2">
      <c r="C21" s="316" t="s">
        <v>245</v>
      </c>
    </row>
    <row r="22" spans="3:6" x14ac:dyDescent="0.2">
      <c r="C22" s="316" t="s">
        <v>246</v>
      </c>
    </row>
    <row r="23" spans="3:6" x14ac:dyDescent="0.2">
      <c r="C23" s="316" t="s">
        <v>247</v>
      </c>
    </row>
    <row r="24" spans="3:6" x14ac:dyDescent="0.2">
      <c r="C24" s="316" t="s">
        <v>248</v>
      </c>
    </row>
    <row r="26" spans="3:6" x14ac:dyDescent="0.2">
      <c r="C26" s="318" t="s">
        <v>249</v>
      </c>
    </row>
    <row r="27" spans="3:6" x14ac:dyDescent="0.2">
      <c r="C27" s="318"/>
    </row>
    <row r="28" spans="3:6" x14ac:dyDescent="0.2">
      <c r="C28" s="320" t="s">
        <v>250</v>
      </c>
    </row>
    <row r="29" spans="3:6" x14ac:dyDescent="0.2">
      <c r="C29" s="316" t="s">
        <v>251</v>
      </c>
      <c r="F29" s="321" t="s">
        <v>252</v>
      </c>
    </row>
  </sheetData>
  <hyperlinks>
    <hyperlink ref="F29" r:id="rId1"/>
  </hyperlinks>
  <pageMargins left="0.7" right="0.7" top="0.75" bottom="0.75" header="0.3" footer="0.3"/>
  <pageSetup paperSize="9" scale="65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9"/>
  <dimension ref="B1:Q288"/>
  <sheetViews>
    <sheetView showGridLines="0" zoomScale="85" zoomScaleNormal="85" zoomScaleSheetLayoutView="85" workbookViewId="0">
      <pane ySplit="11" topLeftCell="A78" activePane="bottomLeft" state="frozen"/>
      <selection activeCell="M113" sqref="M113"/>
      <selection pane="bottomLeft" activeCell="M113" sqref="M113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183:E183"/>
    <mergeCell ref="D184:E184"/>
    <mergeCell ref="D185:E185"/>
    <mergeCell ref="D186:E186"/>
    <mergeCell ref="D146:E146"/>
    <mergeCell ref="D149:E149"/>
    <mergeCell ref="D150:E150"/>
    <mergeCell ref="D158:E158"/>
    <mergeCell ref="D161:E161"/>
    <mergeCell ref="D162:E162"/>
    <mergeCell ref="D182:E182"/>
    <mergeCell ref="D196:E196"/>
    <mergeCell ref="D195:E195"/>
    <mergeCell ref="D215:E215"/>
    <mergeCell ref="D197:E197"/>
    <mergeCell ref="D198:E198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19:E119"/>
    <mergeCell ref="D120:E120"/>
    <mergeCell ref="D118:E118"/>
    <mergeCell ref="D131:E131"/>
    <mergeCell ref="D132:E132"/>
  </mergeCells>
  <phoneticPr fontId="0" type="noConversion"/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0"/>
  <dimension ref="B1:Q288"/>
  <sheetViews>
    <sheetView showGridLines="0" zoomScale="85" zoomScaleNormal="85" zoomScaleSheetLayoutView="85" workbookViewId="0">
      <pane ySplit="11" topLeftCell="A12" activePane="bottomLeft" state="frozen"/>
      <selection activeCell="M113" sqref="M113"/>
      <selection pane="bottomLeft" activeCell="M113" sqref="M113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183:E183"/>
    <mergeCell ref="D184:E184"/>
    <mergeCell ref="D185:E185"/>
    <mergeCell ref="D186:E186"/>
    <mergeCell ref="D146:E146"/>
    <mergeCell ref="D149:E149"/>
    <mergeCell ref="D150:E150"/>
    <mergeCell ref="D158:E158"/>
    <mergeCell ref="D161:E161"/>
    <mergeCell ref="D162:E162"/>
    <mergeCell ref="D182:E182"/>
    <mergeCell ref="D196:E196"/>
    <mergeCell ref="D195:E195"/>
    <mergeCell ref="D215:E215"/>
    <mergeCell ref="D197:E197"/>
    <mergeCell ref="D198:E198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19:E119"/>
    <mergeCell ref="D120:E120"/>
    <mergeCell ref="D118:E118"/>
    <mergeCell ref="D131:E131"/>
    <mergeCell ref="D132:E132"/>
  </mergeCells>
  <phoneticPr fontId="0" type="noConversion"/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1"/>
  <dimension ref="B1:Q288"/>
  <sheetViews>
    <sheetView showGridLines="0" zoomScale="85" zoomScaleNormal="85" zoomScaleSheetLayoutView="85" workbookViewId="0">
      <selection activeCell="B2" sqref="B2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183:E183"/>
    <mergeCell ref="D184:E184"/>
    <mergeCell ref="D185:E185"/>
    <mergeCell ref="D186:E186"/>
    <mergeCell ref="D146:E146"/>
    <mergeCell ref="D149:E149"/>
    <mergeCell ref="D150:E150"/>
    <mergeCell ref="D158:E158"/>
    <mergeCell ref="D161:E161"/>
    <mergeCell ref="D162:E162"/>
    <mergeCell ref="D182:E182"/>
    <mergeCell ref="D196:E196"/>
    <mergeCell ref="D195:E195"/>
    <mergeCell ref="D215:E215"/>
    <mergeCell ref="D197:E197"/>
    <mergeCell ref="D198:E198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19:E119"/>
    <mergeCell ref="D120:E120"/>
    <mergeCell ref="D118:E118"/>
    <mergeCell ref="D131:E131"/>
    <mergeCell ref="D132:E132"/>
  </mergeCells>
  <phoneticPr fontId="0" type="noConversion"/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2"/>
  <dimension ref="B1:Q288"/>
  <sheetViews>
    <sheetView showGridLines="0" zoomScale="85" zoomScaleNormal="85" zoomScaleSheetLayoutView="85" workbookViewId="0">
      <selection activeCell="M113" sqref="M113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183:E183"/>
    <mergeCell ref="D184:E184"/>
    <mergeCell ref="D185:E185"/>
    <mergeCell ref="D186:E186"/>
    <mergeCell ref="D146:E146"/>
    <mergeCell ref="D149:E149"/>
    <mergeCell ref="D150:E150"/>
    <mergeCell ref="D158:E158"/>
    <mergeCell ref="D161:E161"/>
    <mergeCell ref="D162:E162"/>
    <mergeCell ref="D182:E182"/>
    <mergeCell ref="D196:E196"/>
    <mergeCell ref="D195:E195"/>
    <mergeCell ref="D215:E215"/>
    <mergeCell ref="D197:E197"/>
    <mergeCell ref="D198:E198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19:E119"/>
    <mergeCell ref="D120:E120"/>
    <mergeCell ref="D118:E118"/>
    <mergeCell ref="D131:E131"/>
    <mergeCell ref="D132:E132"/>
  </mergeCells>
  <phoneticPr fontId="0" type="noConversion"/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3"/>
  <dimension ref="B1:Q288"/>
  <sheetViews>
    <sheetView showGridLines="0" zoomScale="85" zoomScaleNormal="85" zoomScaleSheetLayoutView="85" workbookViewId="0">
      <selection activeCell="M113" sqref="M113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183:E183"/>
    <mergeCell ref="D184:E184"/>
    <mergeCell ref="D185:E185"/>
    <mergeCell ref="D186:E186"/>
    <mergeCell ref="D146:E146"/>
    <mergeCell ref="D149:E149"/>
    <mergeCell ref="D150:E150"/>
    <mergeCell ref="D158:E158"/>
    <mergeCell ref="D161:E161"/>
    <mergeCell ref="D162:E162"/>
    <mergeCell ref="D182:E182"/>
    <mergeCell ref="D196:E196"/>
    <mergeCell ref="D195:E195"/>
    <mergeCell ref="D215:E215"/>
    <mergeCell ref="D197:E197"/>
    <mergeCell ref="D198:E198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19:E119"/>
    <mergeCell ref="D120:E120"/>
    <mergeCell ref="D118:E118"/>
    <mergeCell ref="D131:E131"/>
    <mergeCell ref="D132:E132"/>
  </mergeCells>
  <phoneticPr fontId="0" type="noConversion"/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5"/>
  <dimension ref="B1:Q288"/>
  <sheetViews>
    <sheetView showGridLines="0" zoomScale="85" zoomScaleNormal="85" zoomScaleSheetLayoutView="85" workbookViewId="0">
      <selection activeCell="M113" sqref="M113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183:E183"/>
    <mergeCell ref="D184:E184"/>
    <mergeCell ref="D185:E185"/>
    <mergeCell ref="D186:E186"/>
    <mergeCell ref="D146:E146"/>
    <mergeCell ref="D149:E149"/>
    <mergeCell ref="D150:E150"/>
    <mergeCell ref="D158:E158"/>
    <mergeCell ref="D161:E161"/>
    <mergeCell ref="D162:E162"/>
    <mergeCell ref="D182:E182"/>
    <mergeCell ref="D196:E196"/>
    <mergeCell ref="D195:E195"/>
    <mergeCell ref="D215:E215"/>
    <mergeCell ref="D197:E197"/>
    <mergeCell ref="D198:E198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19:E119"/>
    <mergeCell ref="D120:E120"/>
    <mergeCell ref="D118:E118"/>
    <mergeCell ref="D131:E131"/>
    <mergeCell ref="D132:E132"/>
  </mergeCells>
  <phoneticPr fontId="0" type="noConversion"/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4"/>
  <dimension ref="B1:Q288"/>
  <sheetViews>
    <sheetView showGridLines="0" zoomScale="85" zoomScaleNormal="85" zoomScaleSheetLayoutView="85" workbookViewId="0">
      <selection activeCell="M113" sqref="M113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183:E183"/>
    <mergeCell ref="D184:E184"/>
    <mergeCell ref="D185:E185"/>
    <mergeCell ref="D186:E186"/>
    <mergeCell ref="D146:E146"/>
    <mergeCell ref="D149:E149"/>
    <mergeCell ref="D150:E150"/>
    <mergeCell ref="D158:E158"/>
    <mergeCell ref="D161:E161"/>
    <mergeCell ref="D162:E162"/>
    <mergeCell ref="D182:E182"/>
    <mergeCell ref="D196:E196"/>
    <mergeCell ref="D195:E195"/>
    <mergeCell ref="D215:E215"/>
    <mergeCell ref="D197:E197"/>
    <mergeCell ref="D198:E198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19:E119"/>
    <mergeCell ref="D120:E120"/>
    <mergeCell ref="D118:E118"/>
    <mergeCell ref="D131:E131"/>
    <mergeCell ref="D132:E132"/>
  </mergeCells>
  <phoneticPr fontId="0" type="noConversion"/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31"/>
  <dimension ref="B1:Q288"/>
  <sheetViews>
    <sheetView showGridLines="0" zoomScale="85" zoomScaleNormal="85" zoomScaleSheetLayoutView="85" workbookViewId="0">
      <selection activeCell="M113" sqref="M113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183:E183"/>
    <mergeCell ref="D184:E184"/>
    <mergeCell ref="D185:E185"/>
    <mergeCell ref="D186:E186"/>
    <mergeCell ref="D146:E146"/>
    <mergeCell ref="D149:E149"/>
    <mergeCell ref="D150:E150"/>
    <mergeCell ref="D158:E158"/>
    <mergeCell ref="D161:E161"/>
    <mergeCell ref="D162:E162"/>
    <mergeCell ref="D182:E182"/>
    <mergeCell ref="D196:E196"/>
    <mergeCell ref="D195:E195"/>
    <mergeCell ref="D215:E215"/>
    <mergeCell ref="D197:E197"/>
    <mergeCell ref="D198:E198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19:E119"/>
    <mergeCell ref="D120:E120"/>
    <mergeCell ref="D118:E118"/>
    <mergeCell ref="D131:E131"/>
    <mergeCell ref="D132:E132"/>
  </mergeCells>
  <phoneticPr fontId="0" type="noConversion"/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30"/>
  <dimension ref="B1:Q288"/>
  <sheetViews>
    <sheetView showGridLines="0" zoomScale="85" zoomScaleNormal="85" zoomScaleSheetLayoutView="85" workbookViewId="0">
      <selection activeCell="M113" sqref="M113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183:E183"/>
    <mergeCell ref="D184:E184"/>
    <mergeCell ref="D185:E185"/>
    <mergeCell ref="D186:E186"/>
    <mergeCell ref="D146:E146"/>
    <mergeCell ref="D149:E149"/>
    <mergeCell ref="D150:E150"/>
    <mergeCell ref="D158:E158"/>
    <mergeCell ref="D161:E161"/>
    <mergeCell ref="D162:E162"/>
    <mergeCell ref="D182:E182"/>
    <mergeCell ref="D196:E196"/>
    <mergeCell ref="D195:E195"/>
    <mergeCell ref="D215:E215"/>
    <mergeCell ref="D197:E197"/>
    <mergeCell ref="D198:E198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19:E119"/>
    <mergeCell ref="D120:E120"/>
    <mergeCell ref="D118:E118"/>
    <mergeCell ref="D131:E131"/>
    <mergeCell ref="D132:E132"/>
  </mergeCells>
  <phoneticPr fontId="0" type="noConversion"/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9"/>
  <dimension ref="B1:Q288"/>
  <sheetViews>
    <sheetView showGridLines="0" zoomScale="85" zoomScaleNormal="85" zoomScaleSheetLayoutView="85" workbookViewId="0">
      <selection activeCell="M113" sqref="M113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183:E183"/>
    <mergeCell ref="D184:E184"/>
    <mergeCell ref="D185:E185"/>
    <mergeCell ref="D186:E186"/>
    <mergeCell ref="D146:E146"/>
    <mergeCell ref="D149:E149"/>
    <mergeCell ref="D150:E150"/>
    <mergeCell ref="D158:E158"/>
    <mergeCell ref="D161:E161"/>
    <mergeCell ref="D162:E162"/>
    <mergeCell ref="D182:E182"/>
    <mergeCell ref="D196:E196"/>
    <mergeCell ref="D195:E195"/>
    <mergeCell ref="D215:E215"/>
    <mergeCell ref="D197:E197"/>
    <mergeCell ref="D198:E198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19:E119"/>
    <mergeCell ref="D120:E120"/>
    <mergeCell ref="D118:E118"/>
    <mergeCell ref="D131:E131"/>
    <mergeCell ref="D132:E132"/>
  </mergeCells>
  <phoneticPr fontId="0" type="noConversion"/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47"/>
  <dimension ref="B1:O149"/>
  <sheetViews>
    <sheetView showGridLines="0" zoomScale="85" zoomScaleNormal="85" zoomScaleSheetLayoutView="115" workbookViewId="0">
      <selection activeCell="B2" sqref="B2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45.7109375" style="67" customWidth="1"/>
    <col min="5" max="5" width="2.7109375" style="67" customWidth="1"/>
    <col min="6" max="12" width="13.85546875" style="363" customWidth="1"/>
    <col min="13" max="13" width="2.7109375" style="67" customWidth="1"/>
    <col min="14" max="14" width="14.7109375" style="67" customWidth="1"/>
    <col min="15" max="15" width="9.140625" style="240"/>
    <col min="16" max="16384" width="9.140625" style="67"/>
  </cols>
  <sheetData>
    <row r="1" spans="2:13" ht="12.75" customHeight="1" x14ac:dyDescent="0.2"/>
    <row r="2" spans="2:13" ht="14.45" customHeight="1" x14ac:dyDescent="0.2">
      <c r="B2" s="78"/>
      <c r="C2" s="79"/>
      <c r="D2" s="80"/>
      <c r="E2" s="80"/>
      <c r="F2" s="364"/>
      <c r="G2" s="364"/>
      <c r="H2" s="364"/>
      <c r="I2" s="364"/>
      <c r="J2" s="364"/>
      <c r="K2" s="364"/>
      <c r="L2" s="364"/>
      <c r="M2" s="82"/>
    </row>
    <row r="3" spans="2:13" x14ac:dyDescent="0.2">
      <c r="B3" s="83"/>
      <c r="C3" s="84"/>
      <c r="D3" s="85"/>
      <c r="E3" s="85"/>
      <c r="F3" s="365"/>
      <c r="G3" s="365"/>
      <c r="H3" s="365"/>
      <c r="I3" s="365"/>
      <c r="J3" s="365"/>
      <c r="K3" s="365"/>
      <c r="L3" s="365"/>
      <c r="M3" s="87"/>
    </row>
    <row r="4" spans="2:13" s="300" customFormat="1" ht="18.75" x14ac:dyDescent="0.3">
      <c r="B4" s="298"/>
      <c r="C4" s="121" t="s">
        <v>234</v>
      </c>
      <c r="D4" s="120"/>
      <c r="E4" s="120"/>
      <c r="F4" s="366"/>
      <c r="G4" s="366"/>
      <c r="H4" s="366"/>
      <c r="I4" s="366"/>
      <c r="J4" s="366"/>
      <c r="K4" s="366"/>
      <c r="L4" s="366"/>
      <c r="M4" s="299"/>
    </row>
    <row r="5" spans="2:13" s="398" customFormat="1" ht="15.75" x14ac:dyDescent="0.25">
      <c r="B5" s="395"/>
      <c r="C5" s="490" t="str">
        <f>IF(tot!F9="","",tot!F9)</f>
        <v>Proefbestuur</v>
      </c>
      <c r="D5" s="303"/>
      <c r="E5" s="303"/>
      <c r="F5" s="396"/>
      <c r="G5" s="396"/>
      <c r="H5" s="396"/>
      <c r="I5" s="396"/>
      <c r="J5" s="396"/>
      <c r="K5" s="396"/>
      <c r="L5" s="396"/>
      <c r="M5" s="397"/>
    </row>
    <row r="6" spans="2:13" s="125" customFormat="1" x14ac:dyDescent="0.2">
      <c r="B6" s="122"/>
      <c r="C6" s="123"/>
      <c r="D6" s="123"/>
      <c r="E6" s="123"/>
      <c r="F6" s="367"/>
      <c r="G6" s="367"/>
      <c r="H6" s="367"/>
      <c r="I6" s="367"/>
      <c r="J6" s="367"/>
      <c r="K6" s="367"/>
      <c r="L6" s="367"/>
      <c r="M6" s="124"/>
    </row>
    <row r="7" spans="2:13" s="125" customFormat="1" x14ac:dyDescent="0.2">
      <c r="B7" s="122"/>
      <c r="C7" s="123"/>
      <c r="D7" s="123"/>
      <c r="E7" s="123"/>
      <c r="F7" s="367"/>
      <c r="G7" s="367"/>
      <c r="H7" s="367"/>
      <c r="I7" s="367"/>
      <c r="J7" s="367"/>
      <c r="K7" s="367"/>
      <c r="L7" s="367"/>
      <c r="M7" s="124"/>
    </row>
    <row r="8" spans="2:13" x14ac:dyDescent="0.2">
      <c r="B8" s="83"/>
      <c r="C8" s="126"/>
      <c r="D8" s="127"/>
      <c r="E8" s="127"/>
      <c r="F8" s="368"/>
      <c r="G8" s="368"/>
      <c r="H8" s="368"/>
      <c r="I8" s="368"/>
      <c r="J8" s="368"/>
      <c r="K8" s="368"/>
      <c r="L8" s="368"/>
      <c r="M8" s="87"/>
    </row>
    <row r="9" spans="2:13" x14ac:dyDescent="0.2">
      <c r="B9" s="83"/>
      <c r="C9" s="130"/>
      <c r="D9" s="131" t="s">
        <v>154</v>
      </c>
      <c r="E9" s="132"/>
      <c r="F9" s="600" t="s">
        <v>264</v>
      </c>
      <c r="G9" s="601"/>
      <c r="H9" s="602"/>
      <c r="J9" s="369"/>
      <c r="K9" s="369"/>
      <c r="L9" s="369"/>
      <c r="M9" s="87"/>
    </row>
    <row r="10" spans="2:13" x14ac:dyDescent="0.2">
      <c r="B10" s="83"/>
      <c r="C10" s="130"/>
      <c r="D10" s="131" t="s">
        <v>155</v>
      </c>
      <c r="E10" s="132"/>
      <c r="F10" s="370">
        <v>10000</v>
      </c>
      <c r="G10" s="369"/>
      <c r="H10" s="369"/>
      <c r="J10" s="369"/>
      <c r="K10" s="369"/>
      <c r="L10" s="369"/>
      <c r="M10" s="87"/>
    </row>
    <row r="11" spans="2:13" x14ac:dyDescent="0.2">
      <c r="B11" s="83"/>
      <c r="C11" s="155"/>
      <c r="D11" s="184"/>
      <c r="E11" s="184"/>
      <c r="F11" s="372"/>
      <c r="G11" s="372"/>
      <c r="H11" s="372"/>
      <c r="I11" s="372"/>
      <c r="J11" s="372"/>
      <c r="K11" s="372"/>
      <c r="L11" s="372"/>
      <c r="M11" s="87"/>
    </row>
    <row r="12" spans="2:13" x14ac:dyDescent="0.2">
      <c r="B12" s="83"/>
      <c r="C12" s="84"/>
      <c r="D12" s="85"/>
      <c r="E12" s="85"/>
      <c r="F12" s="365"/>
      <c r="G12" s="365"/>
      <c r="H12" s="365"/>
      <c r="I12" s="365"/>
      <c r="J12" s="365"/>
      <c r="K12" s="365"/>
      <c r="L12" s="365"/>
      <c r="M12" s="87"/>
    </row>
    <row r="13" spans="2:13" x14ac:dyDescent="0.2">
      <c r="B13" s="83"/>
      <c r="C13" s="126"/>
      <c r="D13" s="127"/>
      <c r="E13" s="127"/>
      <c r="F13" s="368"/>
      <c r="G13" s="368"/>
      <c r="H13" s="368"/>
      <c r="I13" s="368"/>
      <c r="J13" s="368"/>
      <c r="K13" s="368"/>
      <c r="L13" s="368"/>
      <c r="M13" s="87"/>
    </row>
    <row r="14" spans="2:13" x14ac:dyDescent="0.2">
      <c r="B14" s="83"/>
      <c r="C14" s="130"/>
      <c r="D14" s="484" t="s">
        <v>96</v>
      </c>
      <c r="E14" s="500"/>
      <c r="F14" s="501"/>
      <c r="G14" s="501"/>
      <c r="H14" s="501"/>
      <c r="I14" s="501"/>
      <c r="J14" s="501"/>
      <c r="K14" s="501"/>
      <c r="L14" s="501"/>
      <c r="M14" s="87"/>
    </row>
    <row r="15" spans="2:13" x14ac:dyDescent="0.2">
      <c r="B15" s="83"/>
      <c r="C15" s="130"/>
      <c r="D15" s="502" t="s">
        <v>32</v>
      </c>
      <c r="E15" s="500"/>
      <c r="F15" s="503" t="str">
        <f>'1'!G8</f>
        <v>2016/17</v>
      </c>
      <c r="G15" s="503" t="str">
        <f>'1'!H8</f>
        <v>2017/18</v>
      </c>
      <c r="H15" s="503" t="str">
        <f>'1'!I8</f>
        <v>2018/19</v>
      </c>
      <c r="I15" s="503" t="str">
        <f>'1'!J8</f>
        <v>2019/20</v>
      </c>
      <c r="J15" s="503" t="str">
        <f>'1'!K8</f>
        <v>2020/21</v>
      </c>
      <c r="K15" s="503" t="str">
        <f>'1'!L8</f>
        <v>2021/22</v>
      </c>
      <c r="L15" s="503" t="str">
        <f>'1'!M8</f>
        <v>2023/23</v>
      </c>
      <c r="M15" s="87"/>
    </row>
    <row r="16" spans="2:13" x14ac:dyDescent="0.2">
      <c r="B16" s="83"/>
      <c r="C16" s="130"/>
      <c r="D16" s="502" t="s">
        <v>265</v>
      </c>
      <c r="E16" s="500"/>
      <c r="F16" s="503">
        <f>'1'!G10</f>
        <v>2015</v>
      </c>
      <c r="G16" s="503">
        <f>'1'!H10</f>
        <v>2016</v>
      </c>
      <c r="H16" s="503">
        <f>'1'!I10</f>
        <v>2017</v>
      </c>
      <c r="I16" s="503">
        <f>'1'!J10</f>
        <v>2018</v>
      </c>
      <c r="J16" s="503">
        <f>'1'!K10</f>
        <v>2019</v>
      </c>
      <c r="K16" s="503">
        <f>'1'!L10</f>
        <v>2020</v>
      </c>
      <c r="L16" s="503">
        <f>'1'!M10</f>
        <v>2021</v>
      </c>
      <c r="M16" s="87"/>
    </row>
    <row r="17" spans="2:15" x14ac:dyDescent="0.2">
      <c r="B17" s="83"/>
      <c r="C17" s="130"/>
      <c r="D17" s="132"/>
      <c r="E17" s="132"/>
      <c r="F17" s="373"/>
      <c r="G17" s="373"/>
      <c r="H17" s="373"/>
      <c r="I17" s="373"/>
      <c r="J17" s="373"/>
      <c r="K17" s="373"/>
      <c r="L17" s="373"/>
      <c r="M17" s="87"/>
      <c r="O17" s="241"/>
    </row>
    <row r="18" spans="2:15" x14ac:dyDescent="0.2">
      <c r="B18" s="83"/>
      <c r="C18" s="130"/>
      <c r="D18" s="131" t="s">
        <v>4</v>
      </c>
      <c r="E18" s="131"/>
      <c r="F18" s="374">
        <f>'1'!G24+'2'!G24+'3'!G24+'4'!G24+'5'!G24+'6'!G24+'7'!G24+'8'!G24+'9'!G24+'10'!G24+'11'!G24+'12'!G24+'13'!G24+'14'!G24+'15'!G24+'16'!G24+'17'!G24+'18'!G24+'19'!G24+'20'!G24+'21'!G24+'22'!G24+'23'!G24+'24'!G24+'25'!G24</f>
        <v>110</v>
      </c>
      <c r="G18" s="374">
        <f>'1'!H24+'2'!H24+'3'!H24+'4'!H24+'5'!H24+'6'!H24+'7'!H24+'8'!H24+'9'!H24+'10'!H24+'11'!H24+'12'!H24+'13'!H24+'14'!H24+'15'!H24+'16'!H24+'17'!H24+'18'!H24+'19'!H24+'20'!H24+'21'!H24+'22'!H24+'23'!H24+'24'!H24+'25'!H24</f>
        <v>110</v>
      </c>
      <c r="H18" s="374">
        <f>'1'!I24+'2'!I24+'3'!I24+'4'!I24+'5'!I24+'6'!I24+'7'!I24+'8'!I24+'9'!I24+'10'!I24+'11'!I24+'12'!I24+'13'!I24+'14'!I24+'15'!I24+'16'!I24+'17'!I24+'18'!I24+'19'!I24+'20'!I24+'21'!I24+'22'!I24+'23'!I24+'24'!I24+'25'!I24</f>
        <v>110</v>
      </c>
      <c r="I18" s="374">
        <f>'1'!J24+'2'!J24+'3'!J24+'4'!J24+'5'!J24+'6'!J24+'7'!J24+'8'!J24+'9'!J24+'10'!J24+'11'!J24+'12'!J24+'13'!J24+'14'!J24+'15'!J24+'16'!J24+'17'!J24+'18'!J24+'19'!J24+'20'!J24+'21'!J24+'22'!J24+'23'!J24+'24'!J24+'25'!J24</f>
        <v>110</v>
      </c>
      <c r="J18" s="374">
        <f>'1'!K24+'2'!K24+'3'!K24+'4'!K24+'5'!K24+'6'!K24+'7'!K24+'8'!K24+'9'!K24+'10'!K24+'11'!K24+'12'!K24+'13'!K24+'14'!K24+'15'!K24+'16'!K24+'17'!K24+'18'!K24+'19'!K24+'20'!K24+'21'!K24+'22'!K24+'23'!K24+'24'!K24+'25'!K24</f>
        <v>110</v>
      </c>
      <c r="K18" s="374">
        <f>'1'!L24+'2'!L24+'3'!L24+'4'!L24+'5'!L24+'6'!L24+'7'!L24+'8'!L24+'9'!L24+'10'!L24+'11'!L24+'12'!L24+'13'!L24+'14'!L24+'15'!L24+'16'!L24+'17'!L24+'18'!L24+'19'!L24+'20'!L24+'21'!L24+'22'!L24+'23'!L24+'24'!L24+'25'!L24</f>
        <v>110</v>
      </c>
      <c r="L18" s="374">
        <f>'1'!M24+'2'!M24+'3'!M24+'4'!M24+'5'!M24+'6'!M24+'7'!M24+'8'!M24+'9'!M24+'10'!M24+'11'!M24+'12'!M24+'13'!M24+'14'!M24+'15'!M24+'16'!M24+'17'!M24+'18'!M24+'19'!M24+'20'!M24+'21'!M24+'22'!M24+'23'!M24+'24'!M24+'25'!M24</f>
        <v>110</v>
      </c>
      <c r="M18" s="87"/>
      <c r="O18" s="241"/>
    </row>
    <row r="19" spans="2:15" x14ac:dyDescent="0.2">
      <c r="B19" s="83"/>
      <c r="C19" s="130"/>
      <c r="D19" s="131" t="s">
        <v>5</v>
      </c>
      <c r="E19" s="131"/>
      <c r="F19" s="374">
        <f>'1'!G25+'2'!G25+'3'!G25+'4'!G25+'5'!G25+'6'!G25+'7'!G25+'8'!G25+'9'!G25+'10'!G25+'11'!G25+'12'!G25+'13'!G25+'14'!G25+'15'!G25+'16'!G25+'17'!G25+'18'!G25+'19'!G25+'20'!G25+'21'!G25+'22'!G25+'23'!G25+'24'!G25+'25'!G25</f>
        <v>110</v>
      </c>
      <c r="G19" s="374">
        <f>'1'!H25+'2'!H25+'3'!H25+'4'!H25+'5'!H25+'6'!H25+'7'!H25+'8'!H25+'9'!H25+'10'!H25+'11'!H25+'12'!H25+'13'!H25+'14'!H25+'15'!H25+'16'!H25+'17'!H25+'18'!H25+'19'!H25+'20'!H25+'21'!H25+'22'!H25+'23'!H25+'24'!H25+'25'!H25</f>
        <v>110</v>
      </c>
      <c r="H19" s="374">
        <f>'1'!I25+'2'!I25+'3'!I25+'4'!I25+'5'!I25+'6'!I25+'7'!I25+'8'!I25+'9'!I25+'10'!I25+'11'!I25+'12'!I25+'13'!I25+'14'!I25+'15'!I25+'16'!I25+'17'!I25+'18'!I25+'19'!I25+'20'!I25+'21'!I25+'22'!I25+'23'!I25+'24'!I25+'25'!I25</f>
        <v>110</v>
      </c>
      <c r="I19" s="374">
        <f>'1'!J25+'2'!J25+'3'!J25+'4'!J25+'5'!J25+'6'!J25+'7'!J25+'8'!J25+'9'!J25+'10'!J25+'11'!J25+'12'!J25+'13'!J25+'14'!J25+'15'!J25+'16'!J25+'17'!J25+'18'!J25+'19'!J25+'20'!J25+'21'!J25+'22'!J25+'23'!J25+'24'!J25+'25'!J25</f>
        <v>110</v>
      </c>
      <c r="J19" s="374">
        <f>'1'!K25+'2'!K25+'3'!K25+'4'!K25+'5'!K25+'6'!K25+'7'!K25+'8'!K25+'9'!K25+'10'!K25+'11'!K25+'12'!K25+'13'!K25+'14'!K25+'15'!K25+'16'!K25+'17'!K25+'18'!K25+'19'!K25+'20'!K25+'21'!K25+'22'!K25+'23'!K25+'24'!K25+'25'!K25</f>
        <v>110</v>
      </c>
      <c r="K19" s="374">
        <f>'1'!L25+'2'!L25+'3'!L25+'4'!L25+'5'!L25+'6'!L25+'7'!L25+'8'!L25+'9'!L25+'10'!L25+'11'!L25+'12'!L25+'13'!L25+'14'!L25+'15'!L25+'16'!L25+'17'!L25+'18'!L25+'19'!L25+'20'!L25+'21'!L25+'22'!L25+'23'!L25+'24'!L25+'25'!L25</f>
        <v>110</v>
      </c>
      <c r="L19" s="374">
        <f>'1'!M25+'2'!M25+'3'!M25+'4'!M25+'5'!M25+'6'!M25+'7'!M25+'8'!M25+'9'!M25+'10'!M25+'11'!M25+'12'!M25+'13'!M25+'14'!M25+'15'!M25+'16'!M25+'17'!M25+'18'!M25+'19'!M25+'20'!M25+'21'!M25+'22'!M25+'23'!M25+'24'!M25+'25'!M25</f>
        <v>110</v>
      </c>
      <c r="M19" s="87"/>
      <c r="O19" s="241"/>
    </row>
    <row r="20" spans="2:15" x14ac:dyDescent="0.2">
      <c r="B20" s="83"/>
      <c r="C20" s="130"/>
      <c r="D20" s="141" t="s">
        <v>30</v>
      </c>
      <c r="E20" s="141"/>
      <c r="F20" s="375">
        <f t="shared" ref="F20:J20" si="0">F18+F19</f>
        <v>220</v>
      </c>
      <c r="G20" s="375">
        <f t="shared" si="0"/>
        <v>220</v>
      </c>
      <c r="H20" s="375">
        <f t="shared" si="0"/>
        <v>220</v>
      </c>
      <c r="I20" s="375">
        <f t="shared" si="0"/>
        <v>220</v>
      </c>
      <c r="J20" s="375">
        <f t="shared" si="0"/>
        <v>220</v>
      </c>
      <c r="K20" s="375">
        <f t="shared" ref="K20:L20" si="1">K18+K19</f>
        <v>220</v>
      </c>
      <c r="L20" s="375">
        <f t="shared" si="1"/>
        <v>220</v>
      </c>
      <c r="M20" s="87"/>
      <c r="O20" s="241"/>
    </row>
    <row r="21" spans="2:15" hidden="1" x14ac:dyDescent="0.2">
      <c r="B21" s="83"/>
      <c r="C21" s="130"/>
      <c r="D21" s="145">
        <v>0.25</v>
      </c>
      <c r="E21" s="145"/>
      <c r="F21" s="371"/>
      <c r="G21" s="371"/>
      <c r="H21" s="371"/>
      <c r="I21" s="371"/>
      <c r="J21" s="371"/>
      <c r="K21" s="371"/>
      <c r="L21" s="371"/>
      <c r="M21" s="87"/>
      <c r="O21" s="241"/>
    </row>
    <row r="22" spans="2:15" hidden="1" x14ac:dyDescent="0.2">
      <c r="B22" s="83"/>
      <c r="C22" s="130"/>
      <c r="D22" s="145">
        <v>0.4</v>
      </c>
      <c r="E22" s="145"/>
      <c r="F22" s="371"/>
      <c r="G22" s="371"/>
      <c r="H22" s="371"/>
      <c r="I22" s="371"/>
      <c r="J22" s="371"/>
      <c r="K22" s="371"/>
      <c r="L22" s="371"/>
      <c r="M22" s="87"/>
      <c r="O22" s="241"/>
    </row>
    <row r="23" spans="2:15" hidden="1" x14ac:dyDescent="0.2">
      <c r="B23" s="83"/>
      <c r="C23" s="130"/>
      <c r="D23" s="145">
        <v>0.7</v>
      </c>
      <c r="E23" s="145"/>
      <c r="F23" s="371"/>
      <c r="G23" s="371"/>
      <c r="H23" s="371"/>
      <c r="I23" s="371"/>
      <c r="J23" s="371"/>
      <c r="K23" s="371"/>
      <c r="L23" s="371"/>
      <c r="M23" s="87"/>
      <c r="O23" s="241"/>
    </row>
    <row r="24" spans="2:15" hidden="1" x14ac:dyDescent="0.2">
      <c r="B24" s="83"/>
      <c r="C24" s="130"/>
      <c r="D24" s="145">
        <v>0.9</v>
      </c>
      <c r="E24" s="145"/>
      <c r="F24" s="371"/>
      <c r="G24" s="371"/>
      <c r="H24" s="371"/>
      <c r="I24" s="371"/>
      <c r="J24" s="371"/>
      <c r="K24" s="371"/>
      <c r="L24" s="371"/>
      <c r="M24" s="87"/>
      <c r="O24" s="241"/>
    </row>
    <row r="25" spans="2:15" x14ac:dyDescent="0.2">
      <c r="B25" s="83"/>
      <c r="C25" s="130"/>
      <c r="D25" s="144" t="s">
        <v>207</v>
      </c>
      <c r="E25" s="145"/>
      <c r="F25" s="374">
        <f>'1'!G27+'2'!G27+'3'!G27+'4'!G27+'5'!G27+'6'!G27+'7'!G27+'8'!G27+'9'!G27+'10'!G27+'11'!G27+'12'!G27+'13'!G27+'14'!G27+'15'!G27+'16'!G27+'17'!G27+'18'!G27+'19'!G27+'20'!G27+'21'!G27+'22'!G27+'23'!G27+'24'!G27+'25'!G27</f>
        <v>22</v>
      </c>
      <c r="G25" s="374">
        <f>'1'!H27+'2'!H27+'3'!H27+'4'!H27+'5'!H27+'6'!H27+'7'!H27+'8'!H27+'9'!H27+'10'!H27+'11'!H27+'12'!H27+'13'!H27+'14'!H27+'15'!H27+'16'!H27+'17'!H27+'18'!H27+'19'!H27+'20'!H27+'21'!H27+'22'!H27+'23'!H27+'24'!H27+'25'!H27</f>
        <v>22</v>
      </c>
      <c r="H25" s="374">
        <f>'1'!I27+'2'!I27+'3'!I27+'4'!I27+'5'!I27+'6'!I27+'7'!I27+'8'!I27+'9'!I27+'10'!I27+'11'!I27+'12'!I27+'13'!I27+'14'!I27+'15'!I27+'16'!I27+'17'!I27+'18'!I27+'19'!I27+'20'!I27+'21'!I27+'22'!I27+'23'!I27+'24'!I27+'25'!I27</f>
        <v>22</v>
      </c>
      <c r="I25" s="374">
        <f>'1'!J27+'2'!J27+'3'!J27+'4'!J27+'5'!J27+'6'!J27+'7'!J27+'8'!J27+'9'!J27+'10'!J27+'11'!J27+'12'!J27+'13'!J27+'14'!J27+'15'!J27+'16'!J27+'17'!J27+'18'!J27+'19'!J27+'20'!J27+'21'!J27+'22'!J27+'23'!J27+'24'!J27+'25'!J27</f>
        <v>22</v>
      </c>
      <c r="J25" s="374">
        <f>'1'!K27+'2'!K27+'3'!K27+'4'!K27+'5'!K27+'6'!K27+'7'!K27+'8'!K27+'9'!K27+'10'!K27+'11'!K27+'12'!K27+'13'!K27+'14'!K27+'15'!K27+'16'!K27+'17'!K27+'18'!K27+'19'!K27+'20'!K27+'21'!K27+'22'!K27+'23'!K27+'24'!K27+'25'!K27</f>
        <v>22</v>
      </c>
      <c r="K25" s="374">
        <f>'1'!L27+'2'!L27+'3'!L27+'4'!L27+'5'!L27+'6'!L27+'7'!L27+'8'!L27+'9'!L27+'10'!L27+'11'!L27+'12'!L27+'13'!L27+'14'!L27+'15'!L27+'16'!L27+'17'!L27+'18'!L27+'19'!L27+'20'!L27+'21'!L27+'22'!L27+'23'!L27+'24'!L27+'25'!L27</f>
        <v>22</v>
      </c>
      <c r="L25" s="374">
        <f>'1'!M27+'2'!M27+'3'!M27+'4'!M27+'5'!M27+'6'!M27+'7'!M27+'8'!M27+'9'!M27+'10'!M27+'11'!M27+'12'!M27+'13'!M27+'14'!M27+'15'!M27+'16'!M27+'17'!M27+'18'!M27+'19'!M27+'20'!M27+'21'!M27+'22'!M27+'23'!M27+'24'!M27+'25'!M27</f>
        <v>22</v>
      </c>
      <c r="M25" s="87"/>
      <c r="O25" s="241"/>
    </row>
    <row r="26" spans="2:15" x14ac:dyDescent="0.2">
      <c r="B26" s="83"/>
      <c r="C26" s="130"/>
      <c r="D26" s="144" t="s">
        <v>208</v>
      </c>
      <c r="E26" s="145"/>
      <c r="F26" s="374">
        <f>'1'!G28+'2'!G28+'3'!G28+'4'!G28+'5'!G28+'6'!G28+'7'!G28+'8'!G28+'9'!G28+'10'!G28+'11'!G28+'12'!G28+'13'!G28+'14'!G28+'15'!G28+'16'!G28+'17'!G28+'18'!G28+'19'!G28+'20'!G28+'21'!G28+'22'!G28+'23'!G28+'24'!G28+'25'!G28</f>
        <v>11</v>
      </c>
      <c r="G26" s="374">
        <f>'1'!H28+'2'!H28+'3'!H28+'4'!H28+'5'!H28+'6'!H28+'7'!H28+'8'!H28+'9'!H28+'10'!H28+'11'!H28+'12'!H28+'13'!H28+'14'!H28+'15'!H28+'16'!H28+'17'!H28+'18'!H28+'19'!H28+'20'!H28+'21'!H28+'22'!H28+'23'!H28+'24'!H28+'25'!H28</f>
        <v>11</v>
      </c>
      <c r="H26" s="374">
        <f>'1'!I28+'2'!I28+'3'!I28+'4'!I28+'5'!I28+'6'!I28+'7'!I28+'8'!I28+'9'!I28+'10'!I28+'11'!I28+'12'!I28+'13'!I28+'14'!I28+'15'!I28+'16'!I28+'17'!I28+'18'!I28+'19'!I28+'20'!I28+'21'!I28+'22'!I28+'23'!I28+'24'!I28+'25'!I28</f>
        <v>11</v>
      </c>
      <c r="I26" s="374">
        <f>'1'!J28+'2'!J28+'3'!J28+'4'!J28+'5'!J28+'6'!J28+'7'!J28+'8'!J28+'9'!J28+'10'!J28+'11'!J28+'12'!J28+'13'!J28+'14'!J28+'15'!J28+'16'!J28+'17'!J28+'18'!J28+'19'!J28+'20'!J28+'21'!J28+'22'!J28+'23'!J28+'24'!J28+'25'!J28</f>
        <v>11</v>
      </c>
      <c r="J26" s="374">
        <f>'1'!K28+'2'!K28+'3'!K28+'4'!K28+'5'!K28+'6'!K28+'7'!K28+'8'!K28+'9'!K28+'10'!K28+'11'!K28+'12'!K28+'13'!K28+'14'!K28+'15'!K28+'16'!K28+'17'!K28+'18'!K28+'19'!K28+'20'!K28+'21'!K28+'22'!K28+'23'!K28+'24'!K28+'25'!K28</f>
        <v>11</v>
      </c>
      <c r="K26" s="374">
        <f>'1'!L28+'2'!L28+'3'!L28+'4'!L28+'5'!L28+'6'!L28+'7'!L28+'8'!L28+'9'!L28+'10'!L28+'11'!L28+'12'!L28+'13'!L28+'14'!L28+'15'!L28+'16'!L28+'17'!L28+'18'!L28+'19'!L28+'20'!L28+'21'!L28+'22'!L28+'23'!L28+'24'!L28+'25'!L28</f>
        <v>11</v>
      </c>
      <c r="L26" s="374">
        <f>'1'!M28+'2'!M28+'3'!M28+'4'!M28+'5'!M28+'6'!M28+'7'!M28+'8'!M28+'9'!M28+'10'!M28+'11'!M28+'12'!M28+'13'!M28+'14'!M28+'15'!M28+'16'!M28+'17'!M28+'18'!M28+'19'!M28+'20'!M28+'21'!M28+'22'!M28+'23'!M28+'24'!M28+'25'!M28</f>
        <v>11</v>
      </c>
      <c r="M26" s="87"/>
      <c r="O26" s="241"/>
    </row>
    <row r="27" spans="2:15" ht="12.75" customHeight="1" x14ac:dyDescent="0.2">
      <c r="B27" s="83"/>
      <c r="C27" s="130"/>
      <c r="D27" s="131" t="s">
        <v>28</v>
      </c>
      <c r="E27" s="131"/>
      <c r="F27" s="374">
        <f>'1'!G29+'2'!G29+'3'!G29+'4'!G29+'5'!G29+'6'!G29+'7'!G29+'8'!G29+'9'!G29+'10'!G29+'11'!G29+'12'!G29+'13'!G29+'14'!G29+'15'!G29+'16'!G29+'17'!G29+'18'!G29+'19'!G29+'20'!G29+'21'!G29+'22'!G29+'23'!G29+'24'!G29+'25'!G29</f>
        <v>19.799999999999997</v>
      </c>
      <c r="G27" s="374">
        <f>'1'!H29+'2'!H29+'3'!H29+'4'!H29+'5'!H29+'6'!H29+'7'!H29+'8'!H29+'9'!H29+'10'!H29+'11'!H29+'12'!H29+'13'!H29+'14'!H29+'15'!H29+'16'!H29+'17'!H29+'18'!H29+'19'!H29+'20'!H29+'21'!H29+'22'!H29+'23'!H29+'24'!H29+'25'!H29</f>
        <v>19.799999999999997</v>
      </c>
      <c r="H27" s="374">
        <f>'1'!I29+'2'!I29+'3'!I29+'4'!I29+'5'!I29+'6'!I29+'7'!I29+'8'!I29+'9'!I29+'10'!I29+'11'!I29+'12'!I29+'13'!I29+'14'!I29+'15'!I29+'16'!I29+'17'!I29+'18'!I29+'19'!I29+'20'!I29+'21'!I29+'22'!I29+'23'!I29+'24'!I29+'25'!I29</f>
        <v>19.799999999999997</v>
      </c>
      <c r="I27" s="374">
        <f>'1'!J29+'2'!J29+'3'!J29+'4'!J29+'5'!J29+'6'!J29+'7'!J29+'8'!J29+'9'!J29+'10'!J29+'11'!J29+'12'!J29+'13'!J29+'14'!J29+'15'!J29+'16'!J29+'17'!J29+'18'!J29+'19'!J29+'20'!J29+'21'!J29+'22'!J29+'23'!J29+'24'!J29+'25'!J29</f>
        <v>19.799999999999997</v>
      </c>
      <c r="J27" s="374">
        <f>'1'!K29+'2'!K29+'3'!K29+'4'!K29+'5'!K29+'6'!K29+'7'!K29+'8'!K29+'9'!K29+'10'!K29+'11'!K29+'12'!K29+'13'!K29+'14'!K29+'15'!K29+'16'!K29+'17'!K29+'18'!K29+'19'!K29+'20'!K29+'21'!K29+'22'!K29+'23'!K29+'24'!K29+'25'!K29</f>
        <v>19.799999999999997</v>
      </c>
      <c r="K27" s="374">
        <f>'1'!L29+'2'!L29+'3'!L29+'4'!L29+'5'!L29+'6'!L29+'7'!L29+'8'!L29+'9'!L29+'10'!L29+'11'!L29+'12'!L29+'13'!L29+'14'!L29+'15'!L29+'16'!L29+'17'!L29+'18'!L29+'19'!L29+'20'!L29+'21'!L29+'22'!L29+'23'!L29+'24'!L29+'25'!L29</f>
        <v>19.799999999999997</v>
      </c>
      <c r="L27" s="374">
        <f>'1'!M29+'2'!M29+'3'!M29+'4'!M29+'5'!M29+'6'!M29+'7'!M29+'8'!M29+'9'!M29+'10'!M29+'11'!M29+'12'!M29+'13'!M29+'14'!M29+'15'!M29+'16'!M29+'17'!M29+'18'!M29+'19'!M29+'20'!M29+'21'!M29+'22'!M29+'23'!M29+'24'!M29+'25'!M29</f>
        <v>19.799999999999997</v>
      </c>
      <c r="M27" s="87"/>
      <c r="O27" s="241"/>
    </row>
    <row r="28" spans="2:15" ht="12.75" customHeight="1" x14ac:dyDescent="0.2">
      <c r="B28" s="83"/>
      <c r="C28" s="130"/>
      <c r="D28" s="131" t="s">
        <v>69</v>
      </c>
      <c r="E28" s="131"/>
      <c r="F28" s="376">
        <f>'1'!G30+'2'!G30+'3'!G30+'4'!G30+'5'!G30+'6'!G30+'7'!G30+'8'!G30+'9'!G30+'10'!G30+'11'!G30+'12'!G30+'13'!G30+'14'!G30+'15'!G30+'16'!G30</f>
        <v>7</v>
      </c>
      <c r="G28" s="376">
        <f>'1'!H30+'2'!H30+'3'!H30+'4'!H30+'5'!H30+'6'!H30+'7'!H30+'8'!H30+'9'!H30+'10'!H30+'11'!H30+'12'!H30+'13'!H30+'14'!H30+'15'!H30+'16'!H30</f>
        <v>7</v>
      </c>
      <c r="H28" s="376">
        <f>'1'!I30+'2'!I30+'3'!I30+'4'!I30+'5'!I30+'6'!I30+'7'!I30+'8'!I30+'9'!I30+'10'!I30+'11'!I30+'12'!I30+'13'!I30+'14'!I30+'15'!I30+'16'!I30</f>
        <v>7</v>
      </c>
      <c r="I28" s="376">
        <f>'1'!J30+'2'!J30+'3'!J30+'4'!J30+'5'!J30+'6'!J30+'7'!J30+'8'!J30+'9'!J30+'10'!J30+'11'!J30+'12'!J30+'13'!J30+'14'!J30+'15'!J30+'16'!J30</f>
        <v>7</v>
      </c>
      <c r="J28" s="376">
        <f>'1'!K30+'2'!K30+'3'!K30+'4'!K30+'5'!K30+'6'!K30+'7'!K30+'8'!K30+'9'!K30+'10'!K30+'11'!K30+'12'!K30+'13'!K30+'14'!K30+'15'!K30+'16'!K30</f>
        <v>7</v>
      </c>
      <c r="K28" s="376">
        <f>'1'!L30+'2'!L30+'3'!L30+'4'!L30+'5'!L30+'6'!L30+'7'!L30+'8'!L30+'9'!L30+'10'!L30+'11'!L30+'12'!L30+'13'!L30+'14'!L30+'15'!L30+'16'!L30</f>
        <v>7</v>
      </c>
      <c r="L28" s="376">
        <f>'1'!M30+'2'!M30+'3'!M30+'4'!M30+'5'!M30+'6'!M30+'7'!M30+'8'!M30+'9'!M30+'10'!M30+'11'!M30+'12'!M30+'13'!M30+'14'!M30+'15'!M30+'16'!M30</f>
        <v>7</v>
      </c>
      <c r="M28" s="87"/>
      <c r="O28" s="241"/>
    </row>
    <row r="29" spans="2:15" ht="12.75" customHeight="1" x14ac:dyDescent="0.2">
      <c r="B29" s="83"/>
      <c r="C29" s="130"/>
      <c r="D29" s="131"/>
      <c r="E29" s="131"/>
      <c r="F29" s="371"/>
      <c r="G29" s="371"/>
      <c r="H29" s="371"/>
      <c r="I29" s="371"/>
      <c r="J29" s="371"/>
      <c r="K29" s="371"/>
      <c r="L29" s="371"/>
      <c r="M29" s="87"/>
      <c r="O29" s="241"/>
    </row>
    <row r="30" spans="2:15" x14ac:dyDescent="0.2">
      <c r="B30" s="96"/>
      <c r="C30" s="84"/>
      <c r="D30" s="93"/>
      <c r="E30" s="97"/>
      <c r="F30" s="377"/>
      <c r="G30" s="377"/>
      <c r="H30" s="377"/>
      <c r="I30" s="377"/>
      <c r="J30" s="377"/>
      <c r="K30" s="377"/>
      <c r="L30" s="377"/>
      <c r="M30" s="98"/>
      <c r="O30" s="241"/>
    </row>
    <row r="31" spans="2:15" x14ac:dyDescent="0.2">
      <c r="B31" s="83"/>
      <c r="C31" s="253"/>
      <c r="D31" s="208"/>
      <c r="E31" s="127"/>
      <c r="F31" s="378"/>
      <c r="G31" s="378"/>
      <c r="H31" s="378"/>
      <c r="I31" s="378"/>
      <c r="J31" s="378"/>
      <c r="K31" s="378"/>
      <c r="L31" s="378"/>
      <c r="M31" s="87"/>
      <c r="O31" s="242"/>
    </row>
    <row r="32" spans="2:15" s="69" customFormat="1" x14ac:dyDescent="0.2">
      <c r="B32" s="114"/>
      <c r="C32" s="254"/>
      <c r="D32" s="484" t="s">
        <v>266</v>
      </c>
      <c r="E32" s="484"/>
      <c r="F32" s="504"/>
      <c r="G32" s="504"/>
      <c r="H32" s="504"/>
      <c r="I32" s="504"/>
      <c r="J32" s="504"/>
      <c r="K32" s="504"/>
      <c r="L32" s="504"/>
      <c r="M32" s="115"/>
      <c r="O32" s="243"/>
    </row>
    <row r="33" spans="2:15" x14ac:dyDescent="0.2">
      <c r="B33" s="83"/>
      <c r="C33" s="147"/>
      <c r="D33" s="500"/>
      <c r="E33" s="500"/>
      <c r="F33" s="503">
        <f>'1'!G9</f>
        <v>2016</v>
      </c>
      <c r="G33" s="503">
        <f>'1'!H9</f>
        <v>2017</v>
      </c>
      <c r="H33" s="503">
        <f>'1'!I9</f>
        <v>2018</v>
      </c>
      <c r="I33" s="503">
        <f>'1'!J9</f>
        <v>2019</v>
      </c>
      <c r="J33" s="503">
        <f>'1'!K9</f>
        <v>2020</v>
      </c>
      <c r="K33" s="503">
        <f>'1'!L9</f>
        <v>2021</v>
      </c>
      <c r="L33" s="503">
        <f>'1'!M9</f>
        <v>2022</v>
      </c>
      <c r="M33" s="87"/>
      <c r="O33" s="242"/>
    </row>
    <row r="34" spans="2:15" x14ac:dyDescent="0.2">
      <c r="B34" s="83"/>
      <c r="C34" s="147"/>
      <c r="D34" s="148" t="s">
        <v>139</v>
      </c>
      <c r="E34" s="132"/>
      <c r="F34" s="379"/>
      <c r="G34" s="379"/>
      <c r="H34" s="379"/>
      <c r="I34" s="379"/>
      <c r="M34" s="87"/>
      <c r="O34" s="242"/>
    </row>
    <row r="35" spans="2:15" x14ac:dyDescent="0.2">
      <c r="B35" s="83"/>
      <c r="C35" s="147"/>
      <c r="D35" s="132" t="s">
        <v>2</v>
      </c>
      <c r="E35" s="132"/>
      <c r="F35" s="380">
        <f>bestuur!F174+'1'!G249+'2'!G249+'3'!G249+'4'!G249+'5'!G249+'6'!G249+'7'!G249+'8'!G249+'9'!G249+'10'!G249+'11'!G249+'12'!G249+'13'!G249+'14'!G249+'15'!G249+'16'!G249+'17'!G249+'18'!G249+'19'!G249+'20'!G249+'21'!G249+'22'!G249+'23'!G249+'24'!G249+'25'!G249</f>
        <v>0</v>
      </c>
      <c r="G35" s="380">
        <f>bestuur!G174+'1'!H249+'2'!H249+'3'!H249+'4'!H249+'5'!H249+'6'!H249+'7'!H249+'8'!H249+'9'!H249+'10'!H249+'11'!H249+'12'!H249+'13'!H249+'14'!H249+'15'!H249+'16'!H249+'17'!H249+'18'!H249+'19'!H249+'20'!H249+'21'!H249+'22'!H249+'23'!H249+'24'!H249+'25'!H249</f>
        <v>1070770.6523333334</v>
      </c>
      <c r="H35" s="380">
        <f>bestuur!H174+'1'!I249+'2'!I249+'3'!I249+'4'!I249+'5'!I249+'6'!I249+'7'!I249+'8'!I249+'9'!I249+'10'!I249+'11'!I249+'12'!I249+'13'!I249+'14'!I249+'15'!I249+'16'!I249+'17'!I249+'18'!I249+'19'!I249+'20'!I249+'21'!I249+'22'!I249+'23'!I249+'24'!I249+'25'!I249</f>
        <v>1085733.2929</v>
      </c>
      <c r="I35" s="380">
        <f>bestuur!I174+'1'!J249+'2'!J249+'3'!J249+'4'!J249+'5'!J249+'6'!J249+'7'!J249+'8'!J249+'9'!J249+'10'!J249+'11'!J249+'12'!J249+'13'!J249+'14'!J249+'15'!J249+'16'!J249+'17'!J249+'18'!J249+'19'!J249+'20'!J249+'21'!J249+'22'!J249+'23'!J249+'24'!J249+'25'!J249</f>
        <v>1085733.2929</v>
      </c>
      <c r="J35" s="380">
        <f>bestuur!J174+'1'!K249+'2'!K249+'3'!K249+'4'!K249+'5'!K249+'6'!K249+'7'!K249+'8'!K249+'9'!K249+'10'!K249+'11'!K249+'12'!K249+'13'!K249+'14'!K249+'15'!K249+'16'!K249+'17'!K249+'18'!K249+'19'!K249+'20'!K249+'21'!K249+'22'!K249+'23'!K249+'24'!K249+'25'!K249</f>
        <v>1085733.2929</v>
      </c>
      <c r="K35" s="380">
        <f>bestuur!K174+'1'!L249+'2'!L249+'3'!L249+'4'!L249+'5'!L249+'6'!L249+'7'!L249+'8'!L249+'9'!L249+'10'!L249+'11'!L249+'12'!L249+'13'!L249+'14'!L249+'15'!L249+'16'!L249+'17'!L249+'18'!L249+'19'!L249+'20'!L249+'21'!L249+'22'!L249+'23'!L249+'24'!L249+'25'!L249</f>
        <v>1085733.2929</v>
      </c>
      <c r="L35" s="380">
        <f>bestuur!L174+'1'!M249+'2'!M249+'3'!M249+'4'!M249+'5'!M249+'6'!M249+'7'!M249+'8'!M249+'9'!M249+'10'!M249+'11'!M249+'12'!M249+'13'!M249+'14'!M249+'15'!M249+'16'!M249+'17'!M249+'18'!M249+'19'!M249+'20'!M249+'21'!M249+'22'!M249+'23'!M249+'24'!M249+'25'!M249</f>
        <v>1085733.2929</v>
      </c>
      <c r="M35" s="87"/>
      <c r="O35" s="242"/>
    </row>
    <row r="36" spans="2:15" x14ac:dyDescent="0.2">
      <c r="B36" s="83"/>
      <c r="C36" s="146"/>
      <c r="D36" s="131" t="s">
        <v>151</v>
      </c>
      <c r="E36" s="132"/>
      <c r="F36" s="380">
        <f>bestuur!F175+'1'!G250+'2'!G250+'3'!G250+'4'!G250+'5'!G250+'6'!G250+'7'!G250+'8'!G250+'9'!G250+'10'!G250+'11'!G250+'12'!G250+'13'!G250+'14'!G250+'15'!G250+'16'!G250+'17'!G250+'18'!G250+'19'!G250+'20'!G250+'21'!G250+'22'!G250+'23'!G250+'24'!G250+'25'!G250</f>
        <v>0</v>
      </c>
      <c r="G36" s="380">
        <f>bestuur!G175+'1'!H250+'2'!H250+'3'!H250+'4'!H250+'5'!H250+'6'!H250+'7'!H250+'8'!H250+'9'!H250+'10'!H250+'11'!H250+'12'!H250+'13'!H250+'14'!H250+'15'!H250+'16'!H250+'17'!H250+'18'!H250+'19'!H250+'20'!H250+'21'!H250+'22'!H250+'23'!H250+'24'!H250+'25'!H250</f>
        <v>0</v>
      </c>
      <c r="H36" s="380">
        <f>bestuur!H175+'1'!I250+'2'!I250+'3'!I250+'4'!I250+'5'!I250+'6'!I250+'7'!I250+'8'!I250+'9'!I250+'10'!I250+'11'!I250+'12'!I250+'13'!I250+'14'!I250+'15'!I250+'16'!I250+'17'!I250+'18'!I250+'19'!I250+'20'!I250+'21'!I250+'22'!I250+'23'!I250+'24'!I250+'25'!I250</f>
        <v>0</v>
      </c>
      <c r="I36" s="380">
        <f>bestuur!I175+'1'!J250+'2'!J250+'3'!J250+'4'!J250+'5'!J250+'6'!J250+'7'!J250+'8'!J250+'9'!J250+'10'!J250+'11'!J250+'12'!J250+'13'!J250+'14'!J250+'15'!J250+'16'!J250+'17'!J250+'18'!J250+'19'!J250+'20'!J250+'21'!J250+'22'!J250+'23'!J250+'24'!J250+'25'!J250</f>
        <v>0</v>
      </c>
      <c r="J36" s="380">
        <f>bestuur!J175+'1'!K250+'2'!K250+'3'!K250+'4'!K250+'5'!K250+'6'!K250+'7'!K250+'8'!K250+'9'!K250+'10'!K250+'11'!K250+'12'!K250+'13'!K250+'14'!K250+'15'!K250+'16'!K250+'17'!K250+'18'!K250+'19'!K250+'20'!K250+'21'!K250+'22'!K250+'23'!K250+'24'!K250+'25'!K250</f>
        <v>0</v>
      </c>
      <c r="K36" s="380">
        <f>bestuur!K175+'1'!L250+'2'!L250+'3'!L250+'4'!L250+'5'!L250+'6'!L250+'7'!L250+'8'!L250+'9'!L250+'10'!L250+'11'!L250+'12'!L250+'13'!L250+'14'!L250+'15'!L250+'16'!L250+'17'!L250+'18'!L250+'19'!L250+'20'!L250+'21'!L250+'22'!L250+'23'!L250+'24'!L250+'25'!L250</f>
        <v>0</v>
      </c>
      <c r="L36" s="380">
        <f>bestuur!L175+'1'!M250+'2'!M250+'3'!M250+'4'!M250+'5'!M250+'6'!M250+'7'!M250+'8'!M250+'9'!M250+'10'!M250+'11'!M250+'12'!M250+'13'!M250+'14'!M250+'15'!M250+'16'!M250+'17'!M250+'18'!M250+'19'!M250+'20'!M250+'21'!M250+'22'!M250+'23'!M250+'24'!M250+'25'!M250</f>
        <v>0</v>
      </c>
      <c r="M36" s="87"/>
      <c r="O36" s="242"/>
    </row>
    <row r="37" spans="2:15" x14ac:dyDescent="0.2">
      <c r="B37" s="83"/>
      <c r="C37" s="146"/>
      <c r="D37" s="132" t="s">
        <v>0</v>
      </c>
      <c r="E37" s="132"/>
      <c r="F37" s="380">
        <f>bestuur!F176+'1'!G251+'2'!G251+'3'!G251+'4'!G251+'5'!G251+'6'!G251+'7'!G251+'8'!G251+'9'!G251+'10'!G251+'11'!G251+'12'!G251+'13'!G251+'14'!G251+'15'!G251+'16'!G251+'17'!G251+'18'!G251+'19'!G251+'20'!G251+'21'!G251+'22'!G251+'23'!G251+'24'!G251+'25'!G251</f>
        <v>0</v>
      </c>
      <c r="G37" s="380">
        <f>bestuur!G176+'1'!H251+'2'!H251+'3'!H251+'4'!H251+'5'!H251+'6'!H251+'7'!H251+'8'!H251+'9'!H251+'10'!H251+'11'!H251+'12'!H251+'13'!H251+'14'!H251+'15'!H251+'16'!H251+'17'!H251+'18'!H251+'19'!H251+'20'!H251+'21'!H251+'22'!H251+'23'!H251+'24'!H251+'25'!H251</f>
        <v>0</v>
      </c>
      <c r="H37" s="380">
        <f>bestuur!H176+'1'!I251+'2'!I251+'3'!I251+'4'!I251+'5'!I251+'6'!I251+'7'!I251+'8'!I251+'9'!I251+'10'!I251+'11'!I251+'12'!I251+'13'!I251+'14'!I251+'15'!I251+'16'!I251+'17'!I251+'18'!I251+'19'!I251+'20'!I251+'21'!I251+'22'!I251+'23'!I251+'24'!I251+'25'!I251</f>
        <v>0</v>
      </c>
      <c r="I37" s="380">
        <f>bestuur!I176+'1'!J251+'2'!J251+'3'!J251+'4'!J251+'5'!J251+'6'!J251+'7'!J251+'8'!J251+'9'!J251+'10'!J251+'11'!J251+'12'!J251+'13'!J251+'14'!J251+'15'!J251+'16'!J251+'17'!J251+'18'!J251+'19'!J251+'20'!J251+'21'!J251+'22'!J251+'23'!J251+'24'!J251+'25'!J251</f>
        <v>0</v>
      </c>
      <c r="J37" s="380">
        <f>bestuur!J176+'1'!K251+'2'!K251+'3'!K251+'4'!K251+'5'!K251+'6'!K251+'7'!K251+'8'!K251+'9'!K251+'10'!K251+'11'!K251+'12'!K251+'13'!K251+'14'!K251+'15'!K251+'16'!K251+'17'!K251+'18'!K251+'19'!K251+'20'!K251+'21'!K251+'22'!K251+'23'!K251+'24'!K251+'25'!K251</f>
        <v>0</v>
      </c>
      <c r="K37" s="380">
        <f>bestuur!K176+'1'!L251+'2'!L251+'3'!L251+'4'!L251+'5'!L251+'6'!L251+'7'!L251+'8'!L251+'9'!L251+'10'!L251+'11'!L251+'12'!L251+'13'!L251+'14'!L251+'15'!L251+'16'!L251+'17'!L251+'18'!L251+'19'!L251+'20'!L251+'21'!L251+'22'!L251+'23'!L251+'24'!L251+'25'!L251</f>
        <v>0</v>
      </c>
      <c r="L37" s="380">
        <f>bestuur!L176+'1'!M251+'2'!M251+'3'!M251+'4'!M251+'5'!M251+'6'!M251+'7'!M251+'8'!M251+'9'!M251+'10'!M251+'11'!M251+'12'!M251+'13'!M251+'14'!M251+'15'!M251+'16'!M251+'17'!M251+'18'!M251+'19'!M251+'20'!M251+'21'!M251+'22'!M251+'23'!M251+'24'!M251+'25'!M251</f>
        <v>0</v>
      </c>
      <c r="M37" s="87"/>
      <c r="O37" s="242"/>
    </row>
    <row r="38" spans="2:15" x14ac:dyDescent="0.2">
      <c r="B38" s="83"/>
      <c r="C38" s="147"/>
      <c r="D38" s="148"/>
      <c r="E38" s="132"/>
      <c r="F38" s="475">
        <f t="shared" ref="F38:J38" si="2">SUM(F35:F37)</f>
        <v>0</v>
      </c>
      <c r="G38" s="475">
        <f t="shared" si="2"/>
        <v>1070770.6523333334</v>
      </c>
      <c r="H38" s="475">
        <f t="shared" si="2"/>
        <v>1085733.2929</v>
      </c>
      <c r="I38" s="475">
        <f t="shared" si="2"/>
        <v>1085733.2929</v>
      </c>
      <c r="J38" s="475">
        <f t="shared" si="2"/>
        <v>1085733.2929</v>
      </c>
      <c r="K38" s="475">
        <f t="shared" ref="K38:L38" si="3">SUM(K35:K37)</f>
        <v>1085733.2929</v>
      </c>
      <c r="L38" s="475">
        <f t="shared" si="3"/>
        <v>1085733.2929</v>
      </c>
      <c r="M38" s="87"/>
      <c r="O38" s="242"/>
    </row>
    <row r="39" spans="2:15" x14ac:dyDescent="0.2">
      <c r="B39" s="83"/>
      <c r="C39" s="203"/>
      <c r="D39" s="148" t="s">
        <v>140</v>
      </c>
      <c r="E39" s="148"/>
      <c r="F39" s="381"/>
      <c r="G39" s="381"/>
      <c r="H39" s="381"/>
      <c r="I39" s="381"/>
      <c r="M39" s="87"/>
    </row>
    <row r="40" spans="2:15" x14ac:dyDescent="0.2">
      <c r="B40" s="83"/>
      <c r="C40" s="130"/>
      <c r="D40" s="132" t="s">
        <v>101</v>
      </c>
      <c r="E40" s="132"/>
      <c r="F40" s="380">
        <f>bestuur!F179+'1'!G254+'2'!G254+'3'!G254+'4'!G254+'5'!G254+'6'!G254+'7'!G254+'8'!G254+'9'!G254+'10'!G254+'11'!G254+'12'!G254+'13'!G254+'14'!G254+'15'!G254+'16'!G254+'17'!G254+'18'!G254+'19'!G254+'20'!G254+'21'!G254+'22'!G254+'23'!G254+'24'!G254+'25'!G254</f>
        <v>0</v>
      </c>
      <c r="G40" s="380">
        <f>bestuur!G179+'1'!H254+'2'!H254+'3'!H254+'4'!H254+'5'!H254+'6'!H254+'7'!H254+'8'!H254+'9'!H254+'10'!H254+'11'!H254+'12'!H254+'13'!H254+'14'!H254+'15'!H254+'16'!H254+'17'!H254+'18'!H254+'19'!H254+'20'!H254+'21'!H254+'22'!H254+'23'!H254+'24'!H254+'25'!H254</f>
        <v>0</v>
      </c>
      <c r="H40" s="380">
        <f>bestuur!H179+'1'!I254+'2'!I254+'3'!I254+'4'!I254+'5'!I254+'6'!I254+'7'!I254+'8'!I254+'9'!I254+'10'!I254+'11'!I254+'12'!I254+'13'!I254+'14'!I254+'15'!I254+'16'!I254+'17'!I254+'18'!I254+'19'!I254+'20'!I254+'21'!I254+'22'!I254+'23'!I254+'24'!I254+'25'!I254</f>
        <v>0</v>
      </c>
      <c r="I40" s="380">
        <f>bestuur!I179+'1'!J254+'2'!J254+'3'!J254+'4'!J254+'5'!J254+'6'!J254+'7'!J254+'8'!J254+'9'!J254+'10'!J254+'11'!J254+'12'!J254+'13'!J254+'14'!J254+'15'!J254+'16'!J254+'17'!J254+'18'!J254+'19'!J254+'20'!J254+'21'!J254+'22'!J254+'23'!J254+'24'!J254+'25'!J254</f>
        <v>0</v>
      </c>
      <c r="J40" s="380">
        <f>bestuur!J179+'1'!K254+'2'!K254+'3'!K254+'4'!K254+'5'!K254+'6'!K254+'7'!K254+'8'!K254+'9'!K254+'10'!K254+'11'!K254+'12'!K254+'13'!K254+'14'!K254+'15'!K254+'16'!K254+'17'!K254+'18'!K254+'19'!K254+'20'!K254+'21'!K254+'22'!K254+'23'!K254+'24'!K254+'25'!K254</f>
        <v>0</v>
      </c>
      <c r="K40" s="380">
        <f>bestuur!K179+'1'!L254+'2'!L254+'3'!L254+'4'!L254+'5'!L254+'6'!L254+'7'!L254+'8'!L254+'9'!L254+'10'!L254+'11'!L254+'12'!L254+'13'!L254+'14'!L254+'15'!L254+'16'!L254+'17'!L254+'18'!L254+'19'!L254+'20'!L254+'21'!L254+'22'!L254+'23'!L254+'24'!L254+'25'!L254</f>
        <v>0</v>
      </c>
      <c r="L40" s="380">
        <f>bestuur!L179+'1'!M254+'2'!M254+'3'!M254+'4'!M254+'5'!M254+'6'!M254+'7'!M254+'8'!M254+'9'!M254+'10'!M254+'11'!M254+'12'!M254+'13'!M254+'14'!M254+'15'!M254+'16'!M254+'17'!M254+'18'!M254+'19'!M254+'20'!M254+'21'!M254+'22'!M254+'23'!M254+'24'!M254+'25'!M254</f>
        <v>0</v>
      </c>
      <c r="M40" s="87"/>
    </row>
    <row r="41" spans="2:15" x14ac:dyDescent="0.2">
      <c r="B41" s="83"/>
      <c r="C41" s="130"/>
      <c r="D41" s="132" t="s">
        <v>73</v>
      </c>
      <c r="E41" s="132"/>
      <c r="F41" s="380">
        <f>bestuur!F180+'1'!G255+'2'!G255+'3'!G255+'4'!G255+'5'!G255+'6'!G255+'7'!G255+'8'!G255+'9'!G255+'10'!G255+'11'!G255+'12'!G255+'13'!G255+'14'!G255+'15'!G255+'16'!G255+'17'!G255+'18'!G255+'19'!G255+'20'!G255+'21'!G255+'22'!G255+'23'!G255+'24'!G255+'25'!G255</f>
        <v>0</v>
      </c>
      <c r="G41" s="380">
        <f>bestuur!G180+'1'!H255+'2'!H255+'3'!H255+'4'!H255+'5'!H255+'6'!H255+'7'!H255+'8'!H255+'9'!H255+'10'!H255+'11'!H255+'12'!H255+'13'!H255+'14'!H255+'15'!H255+'16'!H255+'17'!H255+'18'!H255+'19'!H255+'20'!H255+'21'!H255+'22'!H255+'23'!H255+'24'!H255+'25'!H255</f>
        <v>0</v>
      </c>
      <c r="H41" s="380">
        <f>bestuur!H180+'1'!I255+'2'!I255+'3'!I255+'4'!I255+'5'!I255+'6'!I255+'7'!I255+'8'!I255+'9'!I255+'10'!I255+'11'!I255+'12'!I255+'13'!I255+'14'!I255+'15'!I255+'16'!I255+'17'!I255+'18'!I255+'19'!I255+'20'!I255+'21'!I255+'22'!I255+'23'!I255+'24'!I255+'25'!I255</f>
        <v>0</v>
      </c>
      <c r="I41" s="380">
        <f>bestuur!I180+'1'!J255+'2'!J255+'3'!J255+'4'!J255+'5'!J255+'6'!J255+'7'!J255+'8'!J255+'9'!J255+'10'!J255+'11'!J255+'12'!J255+'13'!J255+'14'!J255+'15'!J255+'16'!J255+'17'!J255+'18'!J255+'19'!J255+'20'!J255+'21'!J255+'22'!J255+'23'!J255+'24'!J255+'25'!J255</f>
        <v>0</v>
      </c>
      <c r="J41" s="380">
        <f>bestuur!J180+'1'!K255+'2'!K255+'3'!K255+'4'!K255+'5'!K255+'6'!K255+'7'!K255+'8'!K255+'9'!K255+'10'!K255+'11'!K255+'12'!K255+'13'!K255+'14'!K255+'15'!K255+'16'!K255+'17'!K255+'18'!K255+'19'!K255+'20'!K255+'21'!K255+'22'!K255+'23'!K255+'24'!K255+'25'!K255</f>
        <v>0</v>
      </c>
      <c r="K41" s="380">
        <f>bestuur!K180+'1'!L255+'2'!L255+'3'!L255+'4'!L255+'5'!L255+'6'!L255+'7'!L255+'8'!L255+'9'!L255+'10'!L255+'11'!L255+'12'!L255+'13'!L255+'14'!L255+'15'!L255+'16'!L255+'17'!L255+'18'!L255+'19'!L255+'20'!L255+'21'!L255+'22'!L255+'23'!L255+'24'!L255+'25'!L255</f>
        <v>0</v>
      </c>
      <c r="L41" s="380">
        <f>bestuur!L180+'1'!M255+'2'!M255+'3'!M255+'4'!M255+'5'!M255+'6'!M255+'7'!M255+'8'!M255+'9'!M255+'10'!M255+'11'!M255+'12'!M255+'13'!M255+'14'!M255+'15'!M255+'16'!M255+'17'!M255+'18'!M255+'19'!M255+'20'!M255+'21'!M255+'22'!M255+'23'!M255+'24'!M255+'25'!M255</f>
        <v>0</v>
      </c>
      <c r="M41" s="87"/>
    </row>
    <row r="42" spans="2:15" x14ac:dyDescent="0.2">
      <c r="B42" s="83"/>
      <c r="C42" s="130"/>
      <c r="D42" s="132" t="s">
        <v>74</v>
      </c>
      <c r="E42" s="132"/>
      <c r="F42" s="380">
        <f>bestuur!F181+'1'!G256+'2'!G256+'3'!G256+'4'!G256+'5'!G256+'6'!G256+'7'!G256+'8'!G256+'9'!G256+'10'!G256+'11'!G256+'12'!G256+'13'!G256+'14'!G256+'15'!G256+'16'!G256+'17'!G256+'18'!G256+'19'!G256+'20'!G256+'21'!G256+'22'!G256+'23'!G256+'24'!G256+'25'!G256</f>
        <v>0</v>
      </c>
      <c r="G42" s="380">
        <f>bestuur!G181+'1'!H256+'2'!H256+'3'!H256+'4'!H256+'5'!H256+'6'!H256+'7'!H256+'8'!H256+'9'!H256+'10'!H256+'11'!H256+'12'!H256+'13'!H256+'14'!H256+'15'!H256+'16'!H256+'17'!H256+'18'!H256+'19'!H256+'20'!H256+'21'!H256+'22'!H256+'23'!H256+'24'!H256+'25'!H256</f>
        <v>0</v>
      </c>
      <c r="H42" s="380">
        <f>bestuur!H181+'1'!I256+'2'!I256+'3'!I256+'4'!I256+'5'!I256+'6'!I256+'7'!I256+'8'!I256+'9'!I256+'10'!I256+'11'!I256+'12'!I256+'13'!I256+'14'!I256+'15'!I256+'16'!I256+'17'!I256+'18'!I256+'19'!I256+'20'!I256+'21'!I256+'22'!I256+'23'!I256+'24'!I256+'25'!I256</f>
        <v>0</v>
      </c>
      <c r="I42" s="380">
        <f>bestuur!I181+'1'!J256+'2'!J256+'3'!J256+'4'!J256+'5'!J256+'6'!J256+'7'!J256+'8'!J256+'9'!J256+'10'!J256+'11'!J256+'12'!J256+'13'!J256+'14'!J256+'15'!J256+'16'!J256+'17'!J256+'18'!J256+'19'!J256+'20'!J256+'21'!J256+'22'!J256+'23'!J256+'24'!J256+'25'!J256</f>
        <v>0</v>
      </c>
      <c r="J42" s="380">
        <f>bestuur!J181+'1'!K256+'2'!K256+'3'!K256+'4'!K256+'5'!K256+'6'!K256+'7'!K256+'8'!K256+'9'!K256+'10'!K256+'11'!K256+'12'!K256+'13'!K256+'14'!K256+'15'!K256+'16'!K256+'17'!K256+'18'!K256+'19'!K256+'20'!K256+'21'!K256+'22'!K256+'23'!K256+'24'!K256+'25'!K256</f>
        <v>0</v>
      </c>
      <c r="K42" s="380">
        <f>bestuur!K181+'1'!L256+'2'!L256+'3'!L256+'4'!L256+'5'!L256+'6'!L256+'7'!L256+'8'!L256+'9'!L256+'10'!L256+'11'!L256+'12'!L256+'13'!L256+'14'!L256+'15'!L256+'16'!L256+'17'!L256+'18'!L256+'19'!L256+'20'!L256+'21'!L256+'22'!L256+'23'!L256+'24'!L256+'25'!L256</f>
        <v>0</v>
      </c>
      <c r="L42" s="380">
        <f>bestuur!L181+'1'!M256+'2'!M256+'3'!M256+'4'!M256+'5'!M256+'6'!M256+'7'!M256+'8'!M256+'9'!M256+'10'!M256+'11'!M256+'12'!M256+'13'!M256+'14'!M256+'15'!M256+'16'!M256+'17'!M256+'18'!M256+'19'!M256+'20'!M256+'21'!M256+'22'!M256+'23'!M256+'24'!M256+'25'!M256</f>
        <v>0</v>
      </c>
      <c r="M42" s="87"/>
    </row>
    <row r="43" spans="2:15" x14ac:dyDescent="0.2">
      <c r="B43" s="83"/>
      <c r="C43" s="130"/>
      <c r="D43" s="132" t="s">
        <v>72</v>
      </c>
      <c r="E43" s="132"/>
      <c r="F43" s="380">
        <f>bestuur!F182+'1'!G257+'2'!G257+'3'!G257+'4'!G257+'5'!G257+'6'!G257+'7'!G257+'8'!G257+'9'!G257+'10'!G257+'11'!G257+'12'!G257+'13'!G257+'14'!G257+'15'!G257+'16'!G257+'17'!G257+'18'!G257+'19'!G257+'20'!G257+'21'!G257+'22'!G257+'23'!G257+'24'!G257+'25'!G257</f>
        <v>0</v>
      </c>
      <c r="G43" s="380">
        <f>bestuur!G182+'1'!H257+'2'!H257+'3'!H257+'4'!H257+'5'!H257+'6'!H257+'7'!H257+'8'!H257+'9'!H257+'10'!H257+'11'!H257+'12'!H257+'13'!H257+'14'!H257+'15'!H257+'16'!H257+'17'!H257+'18'!H257+'19'!H257+'20'!H257+'21'!H257+'22'!H257+'23'!H257+'24'!H257+'25'!H257</f>
        <v>0</v>
      </c>
      <c r="H43" s="380">
        <f>bestuur!H182+'1'!I257+'2'!I257+'3'!I257+'4'!I257+'5'!I257+'6'!I257+'7'!I257+'8'!I257+'9'!I257+'10'!I257+'11'!I257+'12'!I257+'13'!I257+'14'!I257+'15'!I257+'16'!I257+'17'!I257+'18'!I257+'19'!I257+'20'!I257+'21'!I257+'22'!I257+'23'!I257+'24'!I257+'25'!I257</f>
        <v>0</v>
      </c>
      <c r="I43" s="380">
        <f>bestuur!I182+'1'!J257+'2'!J257+'3'!J257+'4'!J257+'5'!J257+'6'!J257+'7'!J257+'8'!J257+'9'!J257+'10'!J257+'11'!J257+'12'!J257+'13'!J257+'14'!J257+'15'!J257+'16'!J257+'17'!J257+'18'!J257+'19'!J257+'20'!J257+'21'!J257+'22'!J257+'23'!J257+'24'!J257+'25'!J257</f>
        <v>0</v>
      </c>
      <c r="J43" s="380">
        <f>bestuur!J182+'1'!K257+'2'!K257+'3'!K257+'4'!K257+'5'!K257+'6'!K257+'7'!K257+'8'!K257+'9'!K257+'10'!K257+'11'!K257+'12'!K257+'13'!K257+'14'!K257+'15'!K257+'16'!K257+'17'!K257+'18'!K257+'19'!K257+'20'!K257+'21'!K257+'22'!K257+'23'!K257+'24'!K257+'25'!K257</f>
        <v>0</v>
      </c>
      <c r="K43" s="380">
        <f>bestuur!K182+'1'!L257+'2'!L257+'3'!L257+'4'!L257+'5'!L257+'6'!L257+'7'!L257+'8'!L257+'9'!L257+'10'!L257+'11'!L257+'12'!L257+'13'!L257+'14'!L257+'15'!L257+'16'!L257+'17'!L257+'18'!L257+'19'!L257+'20'!L257+'21'!L257+'22'!L257+'23'!L257+'24'!L257+'25'!L257</f>
        <v>0</v>
      </c>
      <c r="L43" s="380">
        <f>bestuur!L182+'1'!M257+'2'!M257+'3'!M257+'4'!M257+'5'!M257+'6'!M257+'7'!M257+'8'!M257+'9'!M257+'10'!M257+'11'!M257+'12'!M257+'13'!M257+'14'!M257+'15'!M257+'16'!M257+'17'!M257+'18'!M257+'19'!M257+'20'!M257+'21'!M257+'22'!M257+'23'!M257+'24'!M257+'25'!M257</f>
        <v>0</v>
      </c>
      <c r="M43" s="87"/>
    </row>
    <row r="44" spans="2:15" x14ac:dyDescent="0.2">
      <c r="B44" s="83"/>
      <c r="C44" s="130"/>
      <c r="D44" s="148"/>
      <c r="E44" s="132"/>
      <c r="F44" s="475">
        <f t="shared" ref="F44:J44" si="4">F40+F41+F42+F43</f>
        <v>0</v>
      </c>
      <c r="G44" s="475">
        <f t="shared" si="4"/>
        <v>0</v>
      </c>
      <c r="H44" s="475">
        <f t="shared" si="4"/>
        <v>0</v>
      </c>
      <c r="I44" s="475">
        <f t="shared" si="4"/>
        <v>0</v>
      </c>
      <c r="J44" s="475">
        <f t="shared" si="4"/>
        <v>0</v>
      </c>
      <c r="K44" s="475">
        <f t="shared" ref="K44:L44" si="5">K40+K41+K42+K43</f>
        <v>0</v>
      </c>
      <c r="L44" s="475">
        <f t="shared" si="5"/>
        <v>0</v>
      </c>
      <c r="M44" s="87"/>
    </row>
    <row r="45" spans="2:15" x14ac:dyDescent="0.2">
      <c r="B45" s="83"/>
      <c r="C45" s="130"/>
      <c r="D45" s="255"/>
      <c r="E45" s="164"/>
      <c r="F45" s="383"/>
      <c r="G45" s="383"/>
      <c r="H45" s="383"/>
      <c r="I45" s="383"/>
      <c r="M45" s="87"/>
    </row>
    <row r="46" spans="2:15" x14ac:dyDescent="0.2">
      <c r="B46" s="83"/>
      <c r="C46" s="146"/>
      <c r="D46" s="141" t="s">
        <v>143</v>
      </c>
      <c r="E46" s="164"/>
      <c r="F46" s="382">
        <f t="shared" ref="F46:J46" si="6">F38-F44</f>
        <v>0</v>
      </c>
      <c r="G46" s="382">
        <f t="shared" si="6"/>
        <v>1070770.6523333334</v>
      </c>
      <c r="H46" s="382">
        <f t="shared" si="6"/>
        <v>1085733.2929</v>
      </c>
      <c r="I46" s="382">
        <f t="shared" si="6"/>
        <v>1085733.2929</v>
      </c>
      <c r="J46" s="382">
        <f t="shared" si="6"/>
        <v>1085733.2929</v>
      </c>
      <c r="K46" s="382">
        <f t="shared" ref="K46:L46" si="7">K38-K44</f>
        <v>1085733.2929</v>
      </c>
      <c r="L46" s="382">
        <f t="shared" si="7"/>
        <v>1085733.2929</v>
      </c>
      <c r="M46" s="87"/>
    </row>
    <row r="47" spans="2:15" x14ac:dyDescent="0.2">
      <c r="B47" s="83"/>
      <c r="C47" s="126"/>
      <c r="D47" s="158"/>
      <c r="E47" s="211"/>
      <c r="F47" s="384"/>
      <c r="G47" s="384"/>
      <c r="H47" s="384"/>
      <c r="I47" s="384"/>
      <c r="J47" s="384"/>
      <c r="K47" s="384"/>
      <c r="L47" s="384"/>
      <c r="M47" s="87"/>
    </row>
    <row r="48" spans="2:15" x14ac:dyDescent="0.2">
      <c r="B48" s="83"/>
      <c r="C48" s="130"/>
      <c r="D48" s="141" t="s">
        <v>102</v>
      </c>
      <c r="E48" s="164"/>
      <c r="F48" s="385"/>
      <c r="G48" s="385"/>
      <c r="H48" s="385"/>
      <c r="I48" s="385"/>
      <c r="J48" s="385"/>
      <c r="K48" s="385"/>
      <c r="L48" s="385"/>
      <c r="M48" s="87"/>
    </row>
    <row r="49" spans="2:13" x14ac:dyDescent="0.2">
      <c r="B49" s="83"/>
      <c r="C49" s="130"/>
      <c r="D49" s="131" t="s">
        <v>103</v>
      </c>
      <c r="E49" s="164"/>
      <c r="F49" s="380">
        <f>bestuur!F191+'1'!G266+'2'!G266+'3'!G266+'4'!G266+'5'!G266+'6'!G266+'7'!G266+'8'!G266+'9'!G266+'10'!G266+'11'!G266+'12'!G266+'13'!G266+'14'!G266+'15'!G266+'16'!G266+'17'!G266+'18'!G266+'19'!G266+'20'!G266+'21'!G266+'22'!G266+'23'!G266+'24'!G266+'25'!G266</f>
        <v>0</v>
      </c>
      <c r="G49" s="380">
        <f>bestuur!G191+'1'!H266+'2'!H266+'3'!H266+'4'!H266+'5'!H266+'6'!H266+'7'!H266+'8'!H266+'9'!H266+'10'!H266+'11'!H266+'12'!H266+'13'!H266+'14'!H266+'15'!H266+'16'!H266+'17'!H266+'18'!H266+'19'!H266+'20'!H266+'21'!H266+'22'!H266+'23'!H266+'24'!H266+'25'!H266</f>
        <v>0</v>
      </c>
      <c r="H49" s="380">
        <f>bestuur!H191+'1'!I266+'2'!I266+'3'!I266+'4'!I266+'5'!I266+'6'!I266+'7'!I266+'8'!I266+'9'!I266+'10'!I266+'11'!I266+'12'!I266+'13'!I266+'14'!I266+'15'!I266+'16'!I266+'17'!I266+'18'!I266+'19'!I266+'20'!I266+'21'!I266+'22'!I266+'23'!I266+'24'!I266+'25'!I266</f>
        <v>0</v>
      </c>
      <c r="I49" s="380">
        <f>bestuur!I191+'1'!J266+'2'!J266+'3'!J266+'4'!J266+'5'!J266+'6'!J266+'7'!J266+'8'!J266+'9'!J266+'10'!J266+'11'!J266+'12'!J266+'13'!J266+'14'!J266+'15'!J266+'16'!J266+'17'!J266+'18'!J266+'19'!J266+'20'!J266+'21'!J266+'22'!J266+'23'!J266+'24'!J266+'25'!J266</f>
        <v>0</v>
      </c>
      <c r="J49" s="380">
        <f>bestuur!J191+'1'!K266+'2'!K266+'3'!K266+'4'!K266+'5'!K266+'6'!K266+'7'!K266+'8'!K266+'9'!K266+'10'!K266+'11'!K266+'12'!K266+'13'!K266+'14'!K266+'15'!K266+'16'!K266+'17'!K266+'18'!K266+'19'!K266+'20'!K266+'21'!K266+'22'!K266+'23'!K266+'24'!K266+'25'!K266</f>
        <v>0</v>
      </c>
      <c r="K49" s="380">
        <f>bestuur!K191+'1'!L266+'2'!L266+'3'!L266+'4'!L266+'5'!L266+'6'!L266+'7'!L266+'8'!L266+'9'!L266+'10'!L266+'11'!L266+'12'!L266+'13'!L266+'14'!L266+'15'!L266+'16'!L266+'17'!L266+'18'!L266+'19'!L266+'20'!L266+'21'!L266+'22'!L266+'23'!L266+'24'!L266+'25'!L266</f>
        <v>0</v>
      </c>
      <c r="L49" s="380">
        <f>bestuur!L191+'1'!M266+'2'!M266+'3'!M266+'4'!M266+'5'!M266+'6'!M266+'7'!M266+'8'!M266+'9'!M266+'10'!M266+'11'!M266+'12'!M266+'13'!M266+'14'!M266+'15'!M266+'16'!M266+'17'!M266+'18'!M266+'19'!M266+'20'!M266+'21'!M266+'22'!M266+'23'!M266+'24'!M266+'25'!M266</f>
        <v>0</v>
      </c>
      <c r="M49" s="87"/>
    </row>
    <row r="50" spans="2:13" x14ac:dyDescent="0.2">
      <c r="B50" s="83"/>
      <c r="C50" s="130"/>
      <c r="D50" s="131" t="s">
        <v>104</v>
      </c>
      <c r="E50" s="164"/>
      <c r="F50" s="380">
        <f>bestuur!F192+'1'!G267+'2'!G267+'3'!G267+'4'!G267+'5'!G267+'6'!G267+'7'!G267+'8'!G267+'9'!G267+'10'!G267+'11'!G267+'12'!G267+'13'!G267+'14'!G267+'15'!G267+'16'!G267+'17'!G267+'18'!G267+'19'!G267+'20'!G267+'21'!G267+'22'!G267+'23'!G267+'24'!G267+'25'!G267</f>
        <v>0</v>
      </c>
      <c r="G50" s="380">
        <f>bestuur!G192+'1'!H267+'2'!H267+'3'!H267+'4'!H267+'5'!H267+'6'!H267+'7'!H267+'8'!H267+'9'!H267+'10'!H267+'11'!H267+'12'!H267+'13'!H267+'14'!H267+'15'!H267+'16'!H267+'17'!H267+'18'!H267+'19'!H267+'20'!H267+'21'!H267+'22'!H267+'23'!H267+'24'!H267+'25'!H267</f>
        <v>0</v>
      </c>
      <c r="H50" s="380">
        <f>bestuur!H192+'1'!I267+'2'!I267+'3'!I267+'4'!I267+'5'!I267+'6'!I267+'7'!I267+'8'!I267+'9'!I267+'10'!I267+'11'!I267+'12'!I267+'13'!I267+'14'!I267+'15'!I267+'16'!I267+'17'!I267+'18'!I267+'19'!I267+'20'!I267+'21'!I267+'22'!I267+'23'!I267+'24'!I267+'25'!I267</f>
        <v>0</v>
      </c>
      <c r="I50" s="380">
        <f>bestuur!I192+'1'!J267+'2'!J267+'3'!J267+'4'!J267+'5'!J267+'6'!J267+'7'!J267+'8'!J267+'9'!J267+'10'!J267+'11'!J267+'12'!J267+'13'!J267+'14'!J267+'15'!J267+'16'!J267+'17'!J267+'18'!J267+'19'!J267+'20'!J267+'21'!J267+'22'!J267+'23'!J267+'24'!J267+'25'!J267</f>
        <v>0</v>
      </c>
      <c r="J50" s="380">
        <f>bestuur!J192+'1'!K267+'2'!K267+'3'!K267+'4'!K267+'5'!K267+'6'!K267+'7'!K267+'8'!K267+'9'!K267+'10'!K267+'11'!K267+'12'!K267+'13'!K267+'14'!K267+'15'!K267+'16'!K267+'17'!K267+'18'!K267+'19'!K267+'20'!K267+'21'!K267+'22'!K267+'23'!K267+'24'!K267+'25'!K267</f>
        <v>0</v>
      </c>
      <c r="K50" s="380">
        <f>bestuur!K192+'1'!L267+'2'!L267+'3'!L267+'4'!L267+'5'!L267+'6'!L267+'7'!L267+'8'!L267+'9'!L267+'10'!L267+'11'!L267+'12'!L267+'13'!L267+'14'!L267+'15'!L267+'16'!L267+'17'!L267+'18'!L267+'19'!L267+'20'!L267+'21'!L267+'22'!L267+'23'!L267+'24'!L267+'25'!L267</f>
        <v>0</v>
      </c>
      <c r="L50" s="380">
        <f>bestuur!L192+'1'!M267+'2'!M267+'3'!M267+'4'!M267+'5'!M267+'6'!M267+'7'!M267+'8'!M267+'9'!M267+'10'!M267+'11'!M267+'12'!M267+'13'!M267+'14'!M267+'15'!M267+'16'!M267+'17'!M267+'18'!M267+'19'!M267+'20'!M267+'21'!M267+'22'!M267+'23'!M267+'24'!M267+'25'!M267</f>
        <v>0</v>
      </c>
      <c r="M50" s="87"/>
    </row>
    <row r="51" spans="2:13" x14ac:dyDescent="0.2">
      <c r="B51" s="83"/>
      <c r="C51" s="146"/>
      <c r="D51" s="141"/>
      <c r="E51" s="148"/>
      <c r="F51" s="382">
        <f t="shared" ref="F51:J51" si="8">F49-F50</f>
        <v>0</v>
      </c>
      <c r="G51" s="382">
        <f t="shared" si="8"/>
        <v>0</v>
      </c>
      <c r="H51" s="382">
        <f t="shared" si="8"/>
        <v>0</v>
      </c>
      <c r="I51" s="382">
        <f t="shared" si="8"/>
        <v>0</v>
      </c>
      <c r="J51" s="382">
        <f t="shared" si="8"/>
        <v>0</v>
      </c>
      <c r="K51" s="382">
        <f t="shared" ref="K51:L51" si="9">K49-K50</f>
        <v>0</v>
      </c>
      <c r="L51" s="382">
        <f t="shared" si="9"/>
        <v>0</v>
      </c>
      <c r="M51" s="87"/>
    </row>
    <row r="52" spans="2:13" x14ac:dyDescent="0.2">
      <c r="B52" s="83"/>
      <c r="C52" s="126"/>
      <c r="D52" s="158"/>
      <c r="E52" s="211"/>
      <c r="F52" s="384"/>
      <c r="G52" s="384"/>
      <c r="H52" s="384"/>
      <c r="I52" s="384"/>
      <c r="M52" s="87"/>
    </row>
    <row r="53" spans="2:13" x14ac:dyDescent="0.2">
      <c r="B53" s="83"/>
      <c r="C53" s="146"/>
      <c r="D53" s="141" t="s">
        <v>144</v>
      </c>
      <c r="E53" s="148"/>
      <c r="F53" s="382">
        <f t="shared" ref="F53:J53" si="10">F46+F51</f>
        <v>0</v>
      </c>
      <c r="G53" s="382">
        <f t="shared" si="10"/>
        <v>1070770.6523333334</v>
      </c>
      <c r="H53" s="382">
        <f t="shared" si="10"/>
        <v>1085733.2929</v>
      </c>
      <c r="I53" s="382">
        <f t="shared" si="10"/>
        <v>1085733.2929</v>
      </c>
      <c r="J53" s="382">
        <f t="shared" si="10"/>
        <v>1085733.2929</v>
      </c>
      <c r="K53" s="382">
        <f t="shared" ref="K53:L53" si="11">K46+K51</f>
        <v>1085733.2929</v>
      </c>
      <c r="L53" s="382">
        <f t="shared" si="11"/>
        <v>1085733.2929</v>
      </c>
      <c r="M53" s="87"/>
    </row>
    <row r="54" spans="2:13" x14ac:dyDescent="0.2">
      <c r="B54" s="83"/>
      <c r="C54" s="130"/>
      <c r="D54" s="524" t="s">
        <v>158</v>
      </c>
      <c r="E54" s="485"/>
      <c r="F54" s="525" t="e">
        <f t="shared" ref="F54:J54" si="12">F53/F38+F49</f>
        <v>#DIV/0!</v>
      </c>
      <c r="G54" s="525">
        <f t="shared" si="12"/>
        <v>1</v>
      </c>
      <c r="H54" s="525">
        <f t="shared" si="12"/>
        <v>1</v>
      </c>
      <c r="I54" s="525">
        <f t="shared" si="12"/>
        <v>1</v>
      </c>
      <c r="J54" s="525">
        <f t="shared" si="12"/>
        <v>1</v>
      </c>
      <c r="K54" s="525">
        <f t="shared" ref="K54:L54" si="13">K53/K38+K49</f>
        <v>1</v>
      </c>
      <c r="L54" s="525">
        <f t="shared" si="13"/>
        <v>1</v>
      </c>
      <c r="M54" s="87"/>
    </row>
    <row r="55" spans="2:13" x14ac:dyDescent="0.2">
      <c r="B55" s="83"/>
      <c r="C55" s="155"/>
      <c r="D55" s="156"/>
      <c r="E55" s="205"/>
      <c r="F55" s="386"/>
      <c r="G55" s="386"/>
      <c r="H55" s="386"/>
      <c r="I55" s="386"/>
      <c r="J55" s="386"/>
      <c r="K55" s="386"/>
      <c r="L55" s="386"/>
      <c r="M55" s="87"/>
    </row>
    <row r="56" spans="2:13" x14ac:dyDescent="0.2">
      <c r="B56" s="83"/>
      <c r="C56" s="84"/>
      <c r="D56" s="93"/>
      <c r="E56" s="97"/>
      <c r="F56" s="377"/>
      <c r="G56" s="377"/>
      <c r="H56" s="377"/>
      <c r="I56" s="377"/>
      <c r="J56" s="377"/>
      <c r="K56" s="377"/>
      <c r="L56" s="377"/>
      <c r="M56" s="87"/>
    </row>
    <row r="57" spans="2:13" x14ac:dyDescent="0.2">
      <c r="B57" s="83"/>
      <c r="D57" s="70"/>
      <c r="E57" s="73"/>
      <c r="F57" s="388"/>
      <c r="G57" s="388"/>
      <c r="H57" s="388"/>
      <c r="I57" s="388"/>
      <c r="J57" s="388"/>
      <c r="K57" s="388"/>
      <c r="L57" s="388"/>
      <c r="M57" s="87"/>
    </row>
    <row r="58" spans="2:13" x14ac:dyDescent="0.2">
      <c r="B58" s="83"/>
      <c r="D58" s="484" t="s">
        <v>280</v>
      </c>
      <c r="E58" s="73"/>
      <c r="F58" s="504"/>
      <c r="G58" s="504"/>
      <c r="H58" s="504"/>
      <c r="I58" s="504"/>
      <c r="J58" s="504"/>
      <c r="K58" s="504"/>
      <c r="L58" s="504"/>
      <c r="M58" s="87"/>
    </row>
    <row r="59" spans="2:13" x14ac:dyDescent="0.2">
      <c r="B59" s="83"/>
      <c r="D59" s="70"/>
      <c r="E59" s="73"/>
      <c r="F59" s="504"/>
      <c r="G59" s="503">
        <f t="shared" ref="G59:J59" si="14">G33</f>
        <v>2017</v>
      </c>
      <c r="H59" s="503">
        <f t="shared" si="14"/>
        <v>2018</v>
      </c>
      <c r="I59" s="503">
        <f t="shared" si="14"/>
        <v>2019</v>
      </c>
      <c r="J59" s="503">
        <f t="shared" si="14"/>
        <v>2020</v>
      </c>
      <c r="K59" s="503">
        <f t="shared" ref="K59:L59" si="15">K33</f>
        <v>2021</v>
      </c>
      <c r="L59" s="503">
        <f t="shared" si="15"/>
        <v>2022</v>
      </c>
      <c r="M59" s="87"/>
    </row>
    <row r="60" spans="2:13" x14ac:dyDescent="0.2">
      <c r="B60" s="83"/>
      <c r="D60" s="148" t="s">
        <v>267</v>
      </c>
      <c r="E60" s="73"/>
      <c r="F60" s="504"/>
      <c r="G60" s="388"/>
      <c r="H60" s="388"/>
      <c r="I60" s="388"/>
      <c r="J60" s="388"/>
      <c r="K60" s="388"/>
      <c r="L60" s="388"/>
      <c r="M60" s="87"/>
    </row>
    <row r="61" spans="2:13" x14ac:dyDescent="0.2">
      <c r="B61" s="83"/>
      <c r="D61" s="132" t="s">
        <v>268</v>
      </c>
      <c r="E61" s="73"/>
      <c r="F61" s="504"/>
      <c r="G61" s="209">
        <f t="shared" ref="G61:L61" si="16">F61</f>
        <v>0</v>
      </c>
      <c r="H61" s="209">
        <f t="shared" si="16"/>
        <v>0</v>
      </c>
      <c r="I61" s="209">
        <f t="shared" si="16"/>
        <v>0</v>
      </c>
      <c r="J61" s="209">
        <f t="shared" si="16"/>
        <v>0</v>
      </c>
      <c r="K61" s="209">
        <f t="shared" si="16"/>
        <v>0</v>
      </c>
      <c r="L61" s="209">
        <f t="shared" si="16"/>
        <v>0</v>
      </c>
      <c r="M61" s="87"/>
    </row>
    <row r="62" spans="2:13" x14ac:dyDescent="0.2">
      <c r="B62" s="83"/>
      <c r="D62" s="132" t="s">
        <v>269</v>
      </c>
      <c r="E62" s="73"/>
      <c r="F62" s="504"/>
      <c r="G62" s="358">
        <f t="shared" ref="G62:L62" si="17">G82</f>
        <v>0</v>
      </c>
      <c r="H62" s="358">
        <f t="shared" si="17"/>
        <v>0</v>
      </c>
      <c r="I62" s="358">
        <f t="shared" si="17"/>
        <v>0</v>
      </c>
      <c r="J62" s="358">
        <f t="shared" si="17"/>
        <v>0</v>
      </c>
      <c r="K62" s="358">
        <f t="shared" si="17"/>
        <v>0</v>
      </c>
      <c r="L62" s="358">
        <f t="shared" si="17"/>
        <v>0</v>
      </c>
      <c r="M62" s="87"/>
    </row>
    <row r="63" spans="2:13" x14ac:dyDescent="0.2">
      <c r="B63" s="83"/>
      <c r="D63" s="132" t="s">
        <v>270</v>
      </c>
      <c r="E63" s="73"/>
      <c r="F63" s="504"/>
      <c r="G63" s="209">
        <f t="shared" ref="G63:L66" si="18">F63</f>
        <v>0</v>
      </c>
      <c r="H63" s="209">
        <f t="shared" si="18"/>
        <v>0</v>
      </c>
      <c r="I63" s="209">
        <f t="shared" si="18"/>
        <v>0</v>
      </c>
      <c r="J63" s="209">
        <f t="shared" si="18"/>
        <v>0</v>
      </c>
      <c r="K63" s="209">
        <f t="shared" si="18"/>
        <v>0</v>
      </c>
      <c r="L63" s="209">
        <f t="shared" si="18"/>
        <v>0</v>
      </c>
      <c r="M63" s="87"/>
    </row>
    <row r="64" spans="2:13" x14ac:dyDescent="0.2">
      <c r="B64" s="83"/>
      <c r="D64" s="132" t="s">
        <v>271</v>
      </c>
      <c r="E64" s="73"/>
      <c r="F64" s="504"/>
      <c r="G64" s="209">
        <f t="shared" si="18"/>
        <v>0</v>
      </c>
      <c r="H64" s="209">
        <f t="shared" si="18"/>
        <v>0</v>
      </c>
      <c r="I64" s="209">
        <f t="shared" si="18"/>
        <v>0</v>
      </c>
      <c r="J64" s="209">
        <f t="shared" si="18"/>
        <v>0</v>
      </c>
      <c r="K64" s="209">
        <f t="shared" si="18"/>
        <v>0</v>
      </c>
      <c r="L64" s="209">
        <f t="shared" si="18"/>
        <v>0</v>
      </c>
      <c r="M64" s="87"/>
    </row>
    <row r="65" spans="2:13" x14ac:dyDescent="0.2">
      <c r="B65" s="83"/>
      <c r="D65" s="132" t="s">
        <v>272</v>
      </c>
      <c r="E65" s="73"/>
      <c r="F65" s="504"/>
      <c r="G65" s="209">
        <f t="shared" si="18"/>
        <v>0</v>
      </c>
      <c r="H65" s="209">
        <f t="shared" si="18"/>
        <v>0</v>
      </c>
      <c r="I65" s="209">
        <f t="shared" si="18"/>
        <v>0</v>
      </c>
      <c r="J65" s="209">
        <f t="shared" si="18"/>
        <v>0</v>
      </c>
      <c r="K65" s="209">
        <f t="shared" si="18"/>
        <v>0</v>
      </c>
      <c r="L65" s="209">
        <f t="shared" si="18"/>
        <v>0</v>
      </c>
      <c r="M65" s="87"/>
    </row>
    <row r="66" spans="2:13" x14ac:dyDescent="0.2">
      <c r="B66" s="83"/>
      <c r="D66" s="132" t="s">
        <v>273</v>
      </c>
      <c r="E66" s="73"/>
      <c r="F66" s="504"/>
      <c r="G66" s="209">
        <f t="shared" si="18"/>
        <v>0</v>
      </c>
      <c r="H66" s="209">
        <f t="shared" si="18"/>
        <v>0</v>
      </c>
      <c r="I66" s="209">
        <f t="shared" si="18"/>
        <v>0</v>
      </c>
      <c r="J66" s="209">
        <f t="shared" si="18"/>
        <v>0</v>
      </c>
      <c r="K66" s="209">
        <f t="shared" si="18"/>
        <v>0</v>
      </c>
      <c r="L66" s="209">
        <f t="shared" si="18"/>
        <v>0</v>
      </c>
      <c r="M66" s="87"/>
    </row>
    <row r="67" spans="2:13" x14ac:dyDescent="0.2">
      <c r="B67" s="83"/>
      <c r="D67" s="132" t="s">
        <v>274</v>
      </c>
      <c r="E67" s="73"/>
      <c r="F67" s="504"/>
      <c r="G67" s="358">
        <f t="shared" ref="G67:L67" si="19">G74-(SUM(G61:G66))</f>
        <v>1070770.6523333334</v>
      </c>
      <c r="H67" s="358">
        <f t="shared" si="19"/>
        <v>2156503.9452333334</v>
      </c>
      <c r="I67" s="358">
        <f t="shared" si="19"/>
        <v>3242237.2381333336</v>
      </c>
      <c r="J67" s="358">
        <f t="shared" si="19"/>
        <v>4327970.5310333334</v>
      </c>
      <c r="K67" s="358">
        <f t="shared" si="19"/>
        <v>5413703.8239333332</v>
      </c>
      <c r="L67" s="358">
        <f t="shared" si="19"/>
        <v>6499437.1168333329</v>
      </c>
      <c r="M67" s="87"/>
    </row>
    <row r="68" spans="2:13" x14ac:dyDescent="0.2">
      <c r="B68" s="83"/>
      <c r="D68" s="488"/>
      <c r="E68" s="73"/>
      <c r="F68" s="504"/>
      <c r="G68" s="382">
        <f t="shared" ref="G68:L68" si="20">SUM(G61:G67)</f>
        <v>1070770.6523333334</v>
      </c>
      <c r="H68" s="382">
        <f t="shared" si="20"/>
        <v>2156503.9452333334</v>
      </c>
      <c r="I68" s="382">
        <f t="shared" si="20"/>
        <v>3242237.2381333336</v>
      </c>
      <c r="J68" s="382">
        <f t="shared" si="20"/>
        <v>4327970.5310333334</v>
      </c>
      <c r="K68" s="382">
        <f t="shared" si="20"/>
        <v>5413703.8239333332</v>
      </c>
      <c r="L68" s="382">
        <f t="shared" si="20"/>
        <v>6499437.1168333329</v>
      </c>
      <c r="M68" s="87"/>
    </row>
    <row r="69" spans="2:13" x14ac:dyDescent="0.2">
      <c r="B69" s="83"/>
      <c r="D69" s="148" t="s">
        <v>275</v>
      </c>
      <c r="E69" s="73"/>
      <c r="F69" s="504"/>
      <c r="G69" s="512"/>
      <c r="H69" s="512"/>
      <c r="I69" s="512"/>
      <c r="J69" s="512"/>
      <c r="K69" s="512"/>
      <c r="L69" s="512"/>
      <c r="M69" s="87"/>
    </row>
    <row r="70" spans="2:13" x14ac:dyDescent="0.2">
      <c r="B70" s="83"/>
      <c r="D70" s="132" t="s">
        <v>276</v>
      </c>
      <c r="E70" s="73"/>
      <c r="F70" s="504"/>
      <c r="G70" s="358">
        <f t="shared" ref="G70:L70" si="21">F70+G53</f>
        <v>1070770.6523333334</v>
      </c>
      <c r="H70" s="358">
        <f t="shared" si="21"/>
        <v>2156503.9452333334</v>
      </c>
      <c r="I70" s="358">
        <f t="shared" si="21"/>
        <v>3242237.2381333336</v>
      </c>
      <c r="J70" s="358">
        <f t="shared" si="21"/>
        <v>4327970.5310333334</v>
      </c>
      <c r="K70" s="358">
        <f t="shared" si="21"/>
        <v>5413703.8239333332</v>
      </c>
      <c r="L70" s="358">
        <f t="shared" si="21"/>
        <v>6499437.1168333329</v>
      </c>
      <c r="M70" s="87"/>
    </row>
    <row r="71" spans="2:13" x14ac:dyDescent="0.2">
      <c r="B71" s="83"/>
      <c r="D71" s="132" t="s">
        <v>277</v>
      </c>
      <c r="E71" s="73"/>
      <c r="F71" s="504"/>
      <c r="G71" s="358">
        <f t="shared" ref="G71:L71" si="22">G91</f>
        <v>0</v>
      </c>
      <c r="H71" s="358">
        <f t="shared" si="22"/>
        <v>0</v>
      </c>
      <c r="I71" s="358">
        <f t="shared" si="22"/>
        <v>0</v>
      </c>
      <c r="J71" s="358">
        <f t="shared" si="22"/>
        <v>0</v>
      </c>
      <c r="K71" s="358">
        <f t="shared" si="22"/>
        <v>0</v>
      </c>
      <c r="L71" s="358">
        <f t="shared" si="22"/>
        <v>0</v>
      </c>
      <c r="M71" s="87"/>
    </row>
    <row r="72" spans="2:13" x14ac:dyDescent="0.2">
      <c r="B72" s="83"/>
      <c r="D72" s="132" t="s">
        <v>278</v>
      </c>
      <c r="E72" s="73"/>
      <c r="F72" s="504"/>
      <c r="G72" s="209">
        <f t="shared" ref="G72:L73" si="23">F72</f>
        <v>0</v>
      </c>
      <c r="H72" s="209">
        <f t="shared" si="23"/>
        <v>0</v>
      </c>
      <c r="I72" s="209">
        <f t="shared" si="23"/>
        <v>0</v>
      </c>
      <c r="J72" s="209">
        <f t="shared" si="23"/>
        <v>0</v>
      </c>
      <c r="K72" s="209">
        <f t="shared" si="23"/>
        <v>0</v>
      </c>
      <c r="L72" s="209">
        <f t="shared" si="23"/>
        <v>0</v>
      </c>
      <c r="M72" s="87"/>
    </row>
    <row r="73" spans="2:13" x14ac:dyDescent="0.2">
      <c r="B73" s="83"/>
      <c r="D73" s="132" t="s">
        <v>279</v>
      </c>
      <c r="E73" s="73"/>
      <c r="F73" s="504"/>
      <c r="G73" s="209">
        <f t="shared" si="23"/>
        <v>0</v>
      </c>
      <c r="H73" s="209">
        <f t="shared" si="23"/>
        <v>0</v>
      </c>
      <c r="I73" s="209">
        <f t="shared" si="23"/>
        <v>0</v>
      </c>
      <c r="J73" s="209">
        <f t="shared" si="23"/>
        <v>0</v>
      </c>
      <c r="K73" s="209">
        <f t="shared" si="23"/>
        <v>0</v>
      </c>
      <c r="L73" s="209">
        <f t="shared" si="23"/>
        <v>0</v>
      </c>
      <c r="M73" s="87"/>
    </row>
    <row r="74" spans="2:13" x14ac:dyDescent="0.2">
      <c r="B74" s="83"/>
      <c r="D74" s="488"/>
      <c r="E74" s="73"/>
      <c r="F74" s="504"/>
      <c r="G74" s="382">
        <f t="shared" ref="G74:L74" si="24">SUM(G70:G73)</f>
        <v>1070770.6523333334</v>
      </c>
      <c r="H74" s="382">
        <f t="shared" si="24"/>
        <v>2156503.9452333334</v>
      </c>
      <c r="I74" s="382">
        <f t="shared" si="24"/>
        <v>3242237.2381333336</v>
      </c>
      <c r="J74" s="382">
        <f t="shared" si="24"/>
        <v>4327970.5310333334</v>
      </c>
      <c r="K74" s="382">
        <f t="shared" si="24"/>
        <v>5413703.8239333332</v>
      </c>
      <c r="L74" s="382">
        <f t="shared" si="24"/>
        <v>6499437.1168333329</v>
      </c>
      <c r="M74" s="87"/>
    </row>
    <row r="75" spans="2:13" x14ac:dyDescent="0.2">
      <c r="B75" s="83"/>
      <c r="D75" s="70"/>
      <c r="E75" s="73"/>
      <c r="F75" s="388"/>
      <c r="G75" s="388"/>
      <c r="H75" s="388"/>
      <c r="I75" s="388"/>
      <c r="J75" s="388"/>
      <c r="K75" s="388"/>
      <c r="L75" s="388"/>
      <c r="M75" s="87"/>
    </row>
    <row r="76" spans="2:13" x14ac:dyDescent="0.2">
      <c r="B76" s="83"/>
      <c r="D76" s="70"/>
      <c r="E76" s="73"/>
      <c r="F76" s="504"/>
      <c r="G76" s="388"/>
      <c r="H76" s="388"/>
      <c r="I76" s="388"/>
      <c r="J76" s="388"/>
      <c r="K76" s="388"/>
      <c r="L76" s="388"/>
      <c r="M76" s="87"/>
    </row>
    <row r="77" spans="2:13" x14ac:dyDescent="0.2">
      <c r="B77" s="83"/>
      <c r="C77" s="519"/>
      <c r="D77" s="579" t="s">
        <v>281</v>
      </c>
      <c r="E77" s="520"/>
      <c r="F77" s="504"/>
      <c r="G77" s="521">
        <f t="shared" ref="G77:L77" si="25">G59</f>
        <v>2017</v>
      </c>
      <c r="H77" s="521">
        <f t="shared" si="25"/>
        <v>2018</v>
      </c>
      <c r="I77" s="521">
        <f t="shared" si="25"/>
        <v>2019</v>
      </c>
      <c r="J77" s="521">
        <f t="shared" si="25"/>
        <v>2020</v>
      </c>
      <c r="K77" s="521">
        <f t="shared" si="25"/>
        <v>2021</v>
      </c>
      <c r="L77" s="521">
        <f t="shared" si="25"/>
        <v>2022</v>
      </c>
      <c r="M77" s="87"/>
    </row>
    <row r="78" spans="2:13" x14ac:dyDescent="0.2">
      <c r="B78" s="83"/>
      <c r="C78" s="514"/>
      <c r="D78" s="580"/>
      <c r="E78" s="513"/>
      <c r="F78" s="504"/>
      <c r="G78" s="514"/>
      <c r="H78" s="514"/>
      <c r="I78" s="514"/>
      <c r="J78" s="514"/>
      <c r="K78" s="514"/>
      <c r="L78" s="514"/>
      <c r="M78" s="87"/>
    </row>
    <row r="79" spans="2:13" x14ac:dyDescent="0.2">
      <c r="B79" s="83"/>
      <c r="C79" s="522"/>
      <c r="D79" s="581" t="s">
        <v>282</v>
      </c>
      <c r="E79" s="513"/>
      <c r="F79" s="504"/>
      <c r="G79" s="574">
        <f t="shared" ref="G79:L79" si="26">F82</f>
        <v>0</v>
      </c>
      <c r="H79" s="574">
        <f t="shared" si="26"/>
        <v>0</v>
      </c>
      <c r="I79" s="574">
        <f t="shared" si="26"/>
        <v>0</v>
      </c>
      <c r="J79" s="574">
        <f t="shared" si="26"/>
        <v>0</v>
      </c>
      <c r="K79" s="574">
        <f t="shared" si="26"/>
        <v>0</v>
      </c>
      <c r="L79" s="574">
        <f t="shared" si="26"/>
        <v>0</v>
      </c>
      <c r="M79" s="87"/>
    </row>
    <row r="80" spans="2:13" x14ac:dyDescent="0.2">
      <c r="B80" s="83"/>
      <c r="C80" s="516"/>
      <c r="D80" s="582" t="s">
        <v>283</v>
      </c>
      <c r="E80" s="513"/>
      <c r="F80" s="504"/>
      <c r="G80" s="575">
        <f t="shared" ref="G80:L80" si="27">F80</f>
        <v>0</v>
      </c>
      <c r="H80" s="575">
        <f t="shared" si="27"/>
        <v>0</v>
      </c>
      <c r="I80" s="575">
        <f t="shared" si="27"/>
        <v>0</v>
      </c>
      <c r="J80" s="575">
        <f t="shared" si="27"/>
        <v>0</v>
      </c>
      <c r="K80" s="575">
        <f t="shared" si="27"/>
        <v>0</v>
      </c>
      <c r="L80" s="575">
        <f t="shared" si="27"/>
        <v>0</v>
      </c>
      <c r="M80" s="87"/>
    </row>
    <row r="81" spans="2:15" x14ac:dyDescent="0.2">
      <c r="B81" s="83"/>
      <c r="C81" s="517"/>
      <c r="D81" s="583" t="s">
        <v>284</v>
      </c>
      <c r="E81" s="513"/>
      <c r="F81" s="504"/>
      <c r="G81" s="576">
        <f t="shared" ref="G81:L81" si="28">G43</f>
        <v>0</v>
      </c>
      <c r="H81" s="576">
        <f t="shared" si="28"/>
        <v>0</v>
      </c>
      <c r="I81" s="576">
        <f t="shared" si="28"/>
        <v>0</v>
      </c>
      <c r="J81" s="576">
        <f t="shared" si="28"/>
        <v>0</v>
      </c>
      <c r="K81" s="576">
        <f t="shared" si="28"/>
        <v>0</v>
      </c>
      <c r="L81" s="576">
        <f t="shared" si="28"/>
        <v>0</v>
      </c>
      <c r="M81" s="87"/>
    </row>
    <row r="82" spans="2:15" x14ac:dyDescent="0.2">
      <c r="B82" s="83"/>
      <c r="C82" s="515"/>
      <c r="D82" s="584" t="s">
        <v>285</v>
      </c>
      <c r="E82" s="513"/>
      <c r="F82" s="504"/>
      <c r="G82" s="577">
        <f t="shared" ref="G82:L82" si="29">SUM(G79:G80)-G81</f>
        <v>0</v>
      </c>
      <c r="H82" s="577">
        <f t="shared" si="29"/>
        <v>0</v>
      </c>
      <c r="I82" s="577">
        <f t="shared" si="29"/>
        <v>0</v>
      </c>
      <c r="J82" s="577">
        <f t="shared" si="29"/>
        <v>0</v>
      </c>
      <c r="K82" s="577">
        <f t="shared" si="29"/>
        <v>0</v>
      </c>
      <c r="L82" s="577">
        <f t="shared" si="29"/>
        <v>0</v>
      </c>
      <c r="M82" s="87"/>
    </row>
    <row r="83" spans="2:15" x14ac:dyDescent="0.2">
      <c r="B83" s="83"/>
      <c r="C83" s="518"/>
      <c r="D83" s="585"/>
      <c r="E83" s="513"/>
      <c r="F83" s="504"/>
      <c r="G83" s="578"/>
      <c r="H83" s="578"/>
      <c r="I83" s="578"/>
      <c r="J83" s="578"/>
      <c r="K83" s="578"/>
      <c r="L83" s="578"/>
      <c r="M83" s="87"/>
    </row>
    <row r="84" spans="2:15" x14ac:dyDescent="0.2">
      <c r="B84" s="83"/>
      <c r="C84" s="522"/>
      <c r="D84" s="581" t="s">
        <v>286</v>
      </c>
      <c r="E84" s="513"/>
      <c r="F84" s="504"/>
      <c r="G84" s="574">
        <f t="shared" ref="G84:L84" si="30">F91</f>
        <v>0</v>
      </c>
      <c r="H84" s="574">
        <f t="shared" si="30"/>
        <v>0</v>
      </c>
      <c r="I84" s="574">
        <f t="shared" si="30"/>
        <v>0</v>
      </c>
      <c r="J84" s="574">
        <f t="shared" si="30"/>
        <v>0</v>
      </c>
      <c r="K84" s="574">
        <f t="shared" si="30"/>
        <v>0</v>
      </c>
      <c r="L84" s="574">
        <f t="shared" si="30"/>
        <v>0</v>
      </c>
      <c r="M84" s="87"/>
    </row>
    <row r="85" spans="2:15" x14ac:dyDescent="0.2">
      <c r="B85" s="83"/>
      <c r="C85" s="516"/>
      <c r="D85" s="582" t="s">
        <v>287</v>
      </c>
      <c r="E85" s="513"/>
      <c r="F85" s="504"/>
      <c r="G85" s="575">
        <f t="shared" ref="G85:L90" si="31">F85</f>
        <v>0</v>
      </c>
      <c r="H85" s="575">
        <f t="shared" si="31"/>
        <v>0</v>
      </c>
      <c r="I85" s="575">
        <f t="shared" si="31"/>
        <v>0</v>
      </c>
      <c r="J85" s="575">
        <f t="shared" si="31"/>
        <v>0</v>
      </c>
      <c r="K85" s="575">
        <f t="shared" si="31"/>
        <v>0</v>
      </c>
      <c r="L85" s="575">
        <f t="shared" si="31"/>
        <v>0</v>
      </c>
      <c r="M85" s="87"/>
    </row>
    <row r="86" spans="2:15" x14ac:dyDescent="0.2">
      <c r="B86" s="83"/>
      <c r="C86" s="516"/>
      <c r="D86" s="582" t="s">
        <v>289</v>
      </c>
      <c r="E86" s="513"/>
      <c r="F86" s="504"/>
      <c r="G86" s="575">
        <f t="shared" ref="G86:L87" si="32">F86</f>
        <v>0</v>
      </c>
      <c r="H86" s="575">
        <f t="shared" si="32"/>
        <v>0</v>
      </c>
      <c r="I86" s="575">
        <f t="shared" si="32"/>
        <v>0</v>
      </c>
      <c r="J86" s="575">
        <f t="shared" si="32"/>
        <v>0</v>
      </c>
      <c r="K86" s="575">
        <f t="shared" si="32"/>
        <v>0</v>
      </c>
      <c r="L86" s="575">
        <f t="shared" si="32"/>
        <v>0</v>
      </c>
      <c r="M86" s="87"/>
    </row>
    <row r="87" spans="2:15" x14ac:dyDescent="0.2">
      <c r="B87" s="83"/>
      <c r="C87" s="516"/>
      <c r="D87" s="582" t="s">
        <v>291</v>
      </c>
      <c r="E87" s="513"/>
      <c r="F87" s="504"/>
      <c r="G87" s="575">
        <f t="shared" si="32"/>
        <v>0</v>
      </c>
      <c r="H87" s="575">
        <f t="shared" si="32"/>
        <v>0</v>
      </c>
      <c r="I87" s="575">
        <f t="shared" si="32"/>
        <v>0</v>
      </c>
      <c r="J87" s="575">
        <f t="shared" si="32"/>
        <v>0</v>
      </c>
      <c r="K87" s="575">
        <f t="shared" si="32"/>
        <v>0</v>
      </c>
      <c r="L87" s="575">
        <f t="shared" si="32"/>
        <v>0</v>
      </c>
      <c r="M87" s="87"/>
    </row>
    <row r="88" spans="2:15" x14ac:dyDescent="0.2">
      <c r="B88" s="83"/>
      <c r="C88" s="517"/>
      <c r="D88" s="583" t="s">
        <v>288</v>
      </c>
      <c r="E88" s="513"/>
      <c r="F88" s="504"/>
      <c r="G88" s="575">
        <f t="shared" si="31"/>
        <v>0</v>
      </c>
      <c r="H88" s="575">
        <f t="shared" si="31"/>
        <v>0</v>
      </c>
      <c r="I88" s="575">
        <f t="shared" si="31"/>
        <v>0</v>
      </c>
      <c r="J88" s="575">
        <f t="shared" si="31"/>
        <v>0</v>
      </c>
      <c r="K88" s="575">
        <f t="shared" si="31"/>
        <v>0</v>
      </c>
      <c r="L88" s="575">
        <f t="shared" si="31"/>
        <v>0</v>
      </c>
      <c r="M88" s="87"/>
    </row>
    <row r="89" spans="2:15" x14ac:dyDescent="0.2">
      <c r="B89" s="83"/>
      <c r="C89" s="517"/>
      <c r="D89" s="583" t="s">
        <v>290</v>
      </c>
      <c r="E89" s="513"/>
      <c r="F89" s="504"/>
      <c r="G89" s="575">
        <f t="shared" si="31"/>
        <v>0</v>
      </c>
      <c r="H89" s="575">
        <f t="shared" si="31"/>
        <v>0</v>
      </c>
      <c r="I89" s="575">
        <f t="shared" si="31"/>
        <v>0</v>
      </c>
      <c r="J89" s="575">
        <f t="shared" si="31"/>
        <v>0</v>
      </c>
      <c r="K89" s="575">
        <f t="shared" si="31"/>
        <v>0</v>
      </c>
      <c r="L89" s="575">
        <f t="shared" si="31"/>
        <v>0</v>
      </c>
      <c r="M89" s="87"/>
    </row>
    <row r="90" spans="2:15" x14ac:dyDescent="0.2">
      <c r="B90" s="83"/>
      <c r="C90" s="517"/>
      <c r="D90" s="583" t="s">
        <v>292</v>
      </c>
      <c r="E90" s="513"/>
      <c r="F90" s="504"/>
      <c r="G90" s="575">
        <f t="shared" si="31"/>
        <v>0</v>
      </c>
      <c r="H90" s="575">
        <f t="shared" si="31"/>
        <v>0</v>
      </c>
      <c r="I90" s="575">
        <f t="shared" si="31"/>
        <v>0</v>
      </c>
      <c r="J90" s="575">
        <f t="shared" si="31"/>
        <v>0</v>
      </c>
      <c r="K90" s="575">
        <f t="shared" si="31"/>
        <v>0</v>
      </c>
      <c r="L90" s="575">
        <f t="shared" si="31"/>
        <v>0</v>
      </c>
      <c r="M90" s="87"/>
    </row>
    <row r="91" spans="2:15" x14ac:dyDescent="0.2">
      <c r="B91" s="83"/>
      <c r="C91" s="523"/>
      <c r="D91" s="586" t="s">
        <v>285</v>
      </c>
      <c r="E91" s="513"/>
      <c r="F91" s="504"/>
      <c r="G91" s="577">
        <f t="shared" ref="G91:L91" si="33">G84+G85+G86+G87-G88-G89-G90</f>
        <v>0</v>
      </c>
      <c r="H91" s="577">
        <f t="shared" si="33"/>
        <v>0</v>
      </c>
      <c r="I91" s="577">
        <f t="shared" si="33"/>
        <v>0</v>
      </c>
      <c r="J91" s="577">
        <f t="shared" si="33"/>
        <v>0</v>
      </c>
      <c r="K91" s="577">
        <f t="shared" si="33"/>
        <v>0</v>
      </c>
      <c r="L91" s="577">
        <f t="shared" si="33"/>
        <v>0</v>
      </c>
      <c r="M91" s="87"/>
    </row>
    <row r="92" spans="2:15" x14ac:dyDescent="0.2">
      <c r="B92" s="83"/>
      <c r="D92" s="70"/>
      <c r="E92" s="73"/>
      <c r="F92" s="504"/>
      <c r="G92" s="388"/>
      <c r="H92" s="388"/>
      <c r="I92" s="388"/>
      <c r="J92" s="388"/>
      <c r="K92" s="388"/>
      <c r="L92" s="388"/>
      <c r="M92" s="87"/>
    </row>
    <row r="93" spans="2:15" x14ac:dyDescent="0.2">
      <c r="B93" s="83"/>
      <c r="C93" s="84"/>
      <c r="D93" s="93"/>
      <c r="E93" s="97"/>
      <c r="F93" s="377"/>
      <c r="G93" s="377"/>
      <c r="H93" s="377"/>
      <c r="I93" s="377"/>
      <c r="J93" s="377"/>
      <c r="K93" s="377"/>
      <c r="L93" s="377"/>
      <c r="M93" s="87"/>
    </row>
    <row r="94" spans="2:15" x14ac:dyDescent="0.2">
      <c r="B94" s="247"/>
      <c r="C94" s="248"/>
      <c r="D94" s="249"/>
      <c r="E94" s="249"/>
      <c r="F94" s="387"/>
      <c r="G94" s="387"/>
      <c r="H94" s="387"/>
      <c r="I94" s="387"/>
      <c r="J94" s="387"/>
      <c r="K94" s="387"/>
      <c r="L94" s="387"/>
      <c r="M94" s="250"/>
      <c r="O94" s="241"/>
    </row>
    <row r="95" spans="2:15" x14ac:dyDescent="0.2">
      <c r="D95" s="70"/>
      <c r="E95" s="73"/>
      <c r="F95" s="388"/>
      <c r="G95" s="388"/>
      <c r="H95" s="388"/>
      <c r="I95" s="388"/>
      <c r="J95" s="388"/>
      <c r="K95" s="388"/>
      <c r="L95" s="388"/>
      <c r="O95" s="67"/>
    </row>
    <row r="96" spans="2:15" x14ac:dyDescent="0.2">
      <c r="B96" s="78"/>
      <c r="C96" s="79"/>
      <c r="D96" s="79"/>
      <c r="E96" s="104"/>
      <c r="F96" s="104"/>
      <c r="G96" s="104"/>
      <c r="H96" s="104"/>
      <c r="I96" s="104"/>
      <c r="J96" s="104"/>
      <c r="K96" s="104"/>
      <c r="L96" s="104"/>
      <c r="M96" s="82"/>
      <c r="O96" s="67"/>
    </row>
    <row r="97" spans="2:15" x14ac:dyDescent="0.2">
      <c r="B97" s="83"/>
      <c r="C97" s="84"/>
      <c r="D97" s="84"/>
      <c r="E97" s="89"/>
      <c r="F97" s="89"/>
      <c r="G97" s="89"/>
      <c r="H97" s="89"/>
      <c r="I97" s="89"/>
      <c r="J97" s="89"/>
      <c r="K97" s="89"/>
      <c r="L97" s="89"/>
      <c r="M97" s="87"/>
      <c r="O97" s="67"/>
    </row>
    <row r="98" spans="2:15" ht="18.75" x14ac:dyDescent="0.3">
      <c r="B98" s="526"/>
      <c r="C98" s="527" t="s">
        <v>293</v>
      </c>
      <c r="D98" s="90"/>
      <c r="E98" s="107"/>
      <c r="F98" s="528"/>
      <c r="G98" s="107"/>
      <c r="H98" s="107"/>
      <c r="I98" s="107"/>
      <c r="J98" s="107"/>
      <c r="K98" s="107"/>
      <c r="L98" s="107"/>
      <c r="M98" s="91"/>
      <c r="O98" s="67"/>
    </row>
    <row r="99" spans="2:15" ht="18.75" x14ac:dyDescent="0.3">
      <c r="B99" s="529"/>
      <c r="C99" s="549" t="str">
        <f>C5</f>
        <v>Proefbestuur</v>
      </c>
      <c r="D99" s="530"/>
      <c r="E99" s="531"/>
      <c r="F99" s="532"/>
      <c r="G99" s="531"/>
      <c r="H99" s="531"/>
      <c r="I99" s="531"/>
      <c r="J99" s="531"/>
      <c r="K99" s="531"/>
      <c r="L99" s="531"/>
      <c r="M99" s="533"/>
      <c r="O99" s="67"/>
    </row>
    <row r="100" spans="2:15" x14ac:dyDescent="0.2">
      <c r="B100" s="474"/>
      <c r="C100" s="534"/>
      <c r="D100" s="84"/>
      <c r="E100" s="89"/>
      <c r="F100" s="89"/>
      <c r="G100" s="89"/>
      <c r="H100" s="89"/>
      <c r="I100" s="89"/>
      <c r="J100" s="89"/>
      <c r="K100" s="89"/>
      <c r="L100" s="89"/>
      <c r="M100" s="87"/>
      <c r="O100" s="71"/>
    </row>
    <row r="101" spans="2:15" x14ac:dyDescent="0.2">
      <c r="B101" s="474"/>
      <c r="C101" s="534"/>
      <c r="D101" s="84"/>
      <c r="E101" s="89"/>
      <c r="F101" s="89"/>
      <c r="G101" s="89"/>
      <c r="H101" s="89"/>
      <c r="I101" s="89"/>
      <c r="J101" s="89"/>
      <c r="K101" s="89"/>
      <c r="L101" s="89"/>
      <c r="M101" s="87"/>
      <c r="O101" s="67"/>
    </row>
    <row r="102" spans="2:15" x14ac:dyDescent="0.2">
      <c r="B102" s="114"/>
      <c r="C102" s="535"/>
      <c r="D102" s="536"/>
      <c r="E102" s="537"/>
      <c r="F102" s="537"/>
      <c r="G102" s="482">
        <f t="shared" ref="G102:L102" si="34">G77</f>
        <v>2017</v>
      </c>
      <c r="H102" s="482">
        <f t="shared" si="34"/>
        <v>2018</v>
      </c>
      <c r="I102" s="482">
        <f t="shared" si="34"/>
        <v>2019</v>
      </c>
      <c r="J102" s="482">
        <f t="shared" si="34"/>
        <v>2020</v>
      </c>
      <c r="K102" s="482">
        <f t="shared" si="34"/>
        <v>2021</v>
      </c>
      <c r="L102" s="482">
        <f t="shared" si="34"/>
        <v>2022</v>
      </c>
      <c r="M102" s="91"/>
      <c r="O102" s="67"/>
    </row>
    <row r="103" spans="2:15" x14ac:dyDescent="0.2">
      <c r="B103" s="94"/>
      <c r="C103" s="538"/>
      <c r="D103" s="97"/>
      <c r="E103" s="86"/>
      <c r="F103" s="86"/>
      <c r="G103" s="86"/>
      <c r="H103" s="86"/>
      <c r="I103" s="86"/>
      <c r="J103" s="86"/>
      <c r="K103" s="86"/>
      <c r="L103" s="86"/>
      <c r="M103" s="87"/>
      <c r="O103" s="67"/>
    </row>
    <row r="104" spans="2:15" x14ac:dyDescent="0.2">
      <c r="B104" s="83"/>
      <c r="C104" s="126"/>
      <c r="D104" s="127"/>
      <c r="E104" s="159"/>
      <c r="F104" s="159"/>
      <c r="G104" s="159"/>
      <c r="H104" s="159"/>
      <c r="I104" s="159"/>
      <c r="J104" s="159"/>
      <c r="K104" s="159"/>
      <c r="L104" s="159"/>
      <c r="M104" s="87"/>
      <c r="O104" s="67"/>
    </row>
    <row r="105" spans="2:15" x14ac:dyDescent="0.2">
      <c r="B105" s="94"/>
      <c r="C105" s="146"/>
      <c r="D105" s="484" t="s">
        <v>294</v>
      </c>
      <c r="E105" s="142"/>
      <c r="F105" s="142"/>
      <c r="G105" s="362">
        <f t="shared" ref="G105:L105" si="35">F67</f>
        <v>0</v>
      </c>
      <c r="H105" s="362">
        <f t="shared" si="35"/>
        <v>1070770.6523333334</v>
      </c>
      <c r="I105" s="362">
        <f t="shared" si="35"/>
        <v>2156503.9452333334</v>
      </c>
      <c r="J105" s="362">
        <f t="shared" si="35"/>
        <v>3242237.2381333336</v>
      </c>
      <c r="K105" s="362">
        <f t="shared" si="35"/>
        <v>4327970.5310333334</v>
      </c>
      <c r="L105" s="362">
        <f t="shared" si="35"/>
        <v>5413703.8239333332</v>
      </c>
      <c r="M105" s="95"/>
      <c r="O105" s="67"/>
    </row>
    <row r="106" spans="2:15" x14ac:dyDescent="0.2">
      <c r="B106" s="83"/>
      <c r="C106" s="155"/>
      <c r="D106" s="539"/>
      <c r="E106" s="540"/>
      <c r="F106" s="540"/>
      <c r="G106" s="540"/>
      <c r="H106" s="540"/>
      <c r="I106" s="540"/>
      <c r="J106" s="540"/>
      <c r="K106" s="540"/>
      <c r="L106" s="540"/>
      <c r="M106" s="87"/>
      <c r="O106" s="67"/>
    </row>
    <row r="107" spans="2:15" x14ac:dyDescent="0.2">
      <c r="B107" s="83"/>
      <c r="C107" s="84"/>
      <c r="D107" s="84"/>
      <c r="E107" s="89"/>
      <c r="F107" s="89"/>
      <c r="G107" s="89"/>
      <c r="H107" s="89"/>
      <c r="I107" s="89"/>
      <c r="J107" s="89"/>
      <c r="K107" s="89"/>
      <c r="L107" s="89"/>
      <c r="M107" s="87"/>
      <c r="O107" s="67"/>
    </row>
    <row r="108" spans="2:15" x14ac:dyDescent="0.2">
      <c r="B108" s="83"/>
      <c r="C108" s="126"/>
      <c r="D108" s="127"/>
      <c r="E108" s="159"/>
      <c r="F108" s="159"/>
      <c r="G108" s="159"/>
      <c r="H108" s="159"/>
      <c r="I108" s="159"/>
      <c r="J108" s="159"/>
      <c r="K108" s="159"/>
      <c r="L108" s="159"/>
      <c r="M108" s="87"/>
      <c r="O108" s="67"/>
    </row>
    <row r="109" spans="2:15" x14ac:dyDescent="0.2">
      <c r="B109" s="83"/>
      <c r="C109" s="130"/>
      <c r="D109" s="484" t="s">
        <v>295</v>
      </c>
      <c r="E109" s="133"/>
      <c r="F109" s="133"/>
      <c r="G109" s="133"/>
      <c r="H109" s="133"/>
      <c r="I109" s="133"/>
      <c r="J109" s="133"/>
      <c r="K109" s="133"/>
      <c r="L109" s="133"/>
      <c r="M109" s="87"/>
      <c r="O109" s="67"/>
    </row>
    <row r="110" spans="2:15" x14ac:dyDescent="0.2">
      <c r="B110" s="83"/>
      <c r="C110" s="130"/>
      <c r="D110" s="148"/>
      <c r="E110" s="133"/>
      <c r="F110" s="133"/>
      <c r="G110" s="133"/>
      <c r="H110" s="133"/>
      <c r="I110" s="133"/>
      <c r="J110" s="133"/>
      <c r="K110" s="133"/>
      <c r="L110" s="133"/>
      <c r="M110" s="87"/>
      <c r="O110" s="67"/>
    </row>
    <row r="111" spans="2:15" x14ac:dyDescent="0.2">
      <c r="B111" s="83"/>
      <c r="C111" s="130"/>
      <c r="D111" s="132" t="s">
        <v>141</v>
      </c>
      <c r="E111" s="133"/>
      <c r="F111" s="133"/>
      <c r="G111" s="550">
        <f t="shared" ref="G111:L111" si="36">G53</f>
        <v>1070770.6523333334</v>
      </c>
      <c r="H111" s="550">
        <f t="shared" si="36"/>
        <v>1085733.2929</v>
      </c>
      <c r="I111" s="550">
        <f t="shared" si="36"/>
        <v>1085733.2929</v>
      </c>
      <c r="J111" s="550">
        <f t="shared" si="36"/>
        <v>1085733.2929</v>
      </c>
      <c r="K111" s="550">
        <f t="shared" si="36"/>
        <v>1085733.2929</v>
      </c>
      <c r="L111" s="550">
        <f t="shared" si="36"/>
        <v>1085733.2929</v>
      </c>
      <c r="M111" s="87"/>
      <c r="O111" s="67"/>
    </row>
    <row r="112" spans="2:15" x14ac:dyDescent="0.2">
      <c r="B112" s="83"/>
      <c r="C112" s="130"/>
      <c r="D112" s="132"/>
      <c r="E112" s="133"/>
      <c r="F112" s="133"/>
      <c r="G112" s="133"/>
      <c r="H112" s="133"/>
      <c r="I112" s="133"/>
      <c r="J112" s="133"/>
      <c r="K112" s="133"/>
      <c r="L112" s="133"/>
      <c r="M112" s="87"/>
      <c r="O112" s="67"/>
    </row>
    <row r="113" spans="2:15" x14ac:dyDescent="0.2">
      <c r="B113" s="83"/>
      <c r="C113" s="130"/>
      <c r="D113" s="132" t="s">
        <v>72</v>
      </c>
      <c r="E113" s="133"/>
      <c r="F113" s="133"/>
      <c r="G113" s="358">
        <f t="shared" ref="G113:J113" si="37">G43</f>
        <v>0</v>
      </c>
      <c r="H113" s="358">
        <f t="shared" si="37"/>
        <v>0</v>
      </c>
      <c r="I113" s="358">
        <f t="shared" si="37"/>
        <v>0</v>
      </c>
      <c r="J113" s="358">
        <f t="shared" si="37"/>
        <v>0</v>
      </c>
      <c r="K113" s="358">
        <f t="shared" ref="K113:L113" si="38">K43</f>
        <v>0</v>
      </c>
      <c r="L113" s="358">
        <f t="shared" si="38"/>
        <v>0</v>
      </c>
      <c r="M113" s="87"/>
      <c r="O113" s="67"/>
    </row>
    <row r="114" spans="2:15" x14ac:dyDescent="0.2">
      <c r="B114" s="83"/>
      <c r="C114" s="130"/>
      <c r="D114" s="132"/>
      <c r="E114" s="133"/>
      <c r="F114" s="133"/>
      <c r="G114" s="161"/>
      <c r="H114" s="161"/>
      <c r="I114" s="161"/>
      <c r="J114" s="161"/>
      <c r="K114" s="161"/>
      <c r="L114" s="161"/>
      <c r="M114" s="87"/>
      <c r="O114" s="67"/>
    </row>
    <row r="115" spans="2:15" x14ac:dyDescent="0.2">
      <c r="B115" s="83"/>
      <c r="C115" s="130"/>
      <c r="D115" s="541" t="s">
        <v>296</v>
      </c>
      <c r="E115" s="133"/>
      <c r="F115" s="133"/>
      <c r="G115" s="161"/>
      <c r="H115" s="161"/>
      <c r="I115" s="161"/>
      <c r="J115" s="161"/>
      <c r="K115" s="161"/>
      <c r="L115" s="161"/>
      <c r="M115" s="87"/>
      <c r="O115" s="67"/>
    </row>
    <row r="116" spans="2:15" x14ac:dyDescent="0.2">
      <c r="B116" s="83"/>
      <c r="C116" s="130"/>
      <c r="D116" s="132" t="s">
        <v>297</v>
      </c>
      <c r="E116" s="133"/>
      <c r="F116" s="133"/>
      <c r="G116" s="358">
        <f t="shared" ref="G116:L118" si="39">F64-G64</f>
        <v>0</v>
      </c>
      <c r="H116" s="358">
        <f t="shared" si="39"/>
        <v>0</v>
      </c>
      <c r="I116" s="358">
        <f t="shared" si="39"/>
        <v>0</v>
      </c>
      <c r="J116" s="358">
        <f t="shared" si="39"/>
        <v>0</v>
      </c>
      <c r="K116" s="358">
        <f t="shared" si="39"/>
        <v>0</v>
      </c>
      <c r="L116" s="358">
        <f t="shared" si="39"/>
        <v>0</v>
      </c>
      <c r="M116" s="87"/>
      <c r="O116" s="67"/>
    </row>
    <row r="117" spans="2:15" x14ac:dyDescent="0.2">
      <c r="B117" s="83"/>
      <c r="C117" s="130"/>
      <c r="D117" s="132" t="s">
        <v>298</v>
      </c>
      <c r="E117" s="133"/>
      <c r="F117" s="133"/>
      <c r="G117" s="358">
        <f t="shared" si="39"/>
        <v>0</v>
      </c>
      <c r="H117" s="358">
        <f t="shared" si="39"/>
        <v>0</v>
      </c>
      <c r="I117" s="358">
        <f t="shared" si="39"/>
        <v>0</v>
      </c>
      <c r="J117" s="358">
        <f t="shared" si="39"/>
        <v>0</v>
      </c>
      <c r="K117" s="358">
        <f t="shared" si="39"/>
        <v>0</v>
      </c>
      <c r="L117" s="358">
        <f t="shared" si="39"/>
        <v>0</v>
      </c>
      <c r="M117" s="87"/>
      <c r="O117" s="77"/>
    </row>
    <row r="118" spans="2:15" x14ac:dyDescent="0.2">
      <c r="B118" s="83"/>
      <c r="C118" s="130"/>
      <c r="D118" s="132" t="s">
        <v>299</v>
      </c>
      <c r="E118" s="133"/>
      <c r="F118" s="133"/>
      <c r="G118" s="358">
        <f t="shared" si="39"/>
        <v>0</v>
      </c>
      <c r="H118" s="358">
        <f t="shared" si="39"/>
        <v>0</v>
      </c>
      <c r="I118" s="358">
        <f t="shared" si="39"/>
        <v>0</v>
      </c>
      <c r="J118" s="358">
        <f t="shared" si="39"/>
        <v>0</v>
      </c>
      <c r="K118" s="358">
        <f t="shared" si="39"/>
        <v>0</v>
      </c>
      <c r="L118" s="358">
        <f t="shared" si="39"/>
        <v>0</v>
      </c>
      <c r="M118" s="87"/>
      <c r="O118" s="77"/>
    </row>
    <row r="119" spans="2:15" x14ac:dyDescent="0.2">
      <c r="B119" s="83"/>
      <c r="C119" s="130"/>
      <c r="D119" s="132" t="s">
        <v>300</v>
      </c>
      <c r="E119" s="133"/>
      <c r="F119" s="133"/>
      <c r="G119" s="358">
        <f t="shared" ref="G119:L119" si="40">G73-F73</f>
        <v>0</v>
      </c>
      <c r="H119" s="358">
        <f t="shared" si="40"/>
        <v>0</v>
      </c>
      <c r="I119" s="358">
        <f t="shared" si="40"/>
        <v>0</v>
      </c>
      <c r="J119" s="358">
        <f t="shared" si="40"/>
        <v>0</v>
      </c>
      <c r="K119" s="358">
        <f t="shared" si="40"/>
        <v>0</v>
      </c>
      <c r="L119" s="358">
        <f t="shared" si="40"/>
        <v>0</v>
      </c>
      <c r="M119" s="87"/>
      <c r="O119" s="244"/>
    </row>
    <row r="120" spans="2:15" x14ac:dyDescent="0.2">
      <c r="B120" s="83"/>
      <c r="C120" s="130"/>
      <c r="D120" s="132"/>
      <c r="E120" s="133"/>
      <c r="F120" s="133"/>
      <c r="G120" s="542">
        <f t="shared" ref="G120:L120" si="41">SUM(G116:G119)</f>
        <v>0</v>
      </c>
      <c r="H120" s="542">
        <f t="shared" si="41"/>
        <v>0</v>
      </c>
      <c r="I120" s="542">
        <f t="shared" si="41"/>
        <v>0</v>
      </c>
      <c r="J120" s="542">
        <f t="shared" si="41"/>
        <v>0</v>
      </c>
      <c r="K120" s="542">
        <f t="shared" si="41"/>
        <v>0</v>
      </c>
      <c r="L120" s="542">
        <f t="shared" si="41"/>
        <v>0</v>
      </c>
      <c r="M120" s="87"/>
      <c r="O120" s="77"/>
    </row>
    <row r="121" spans="2:15" x14ac:dyDescent="0.2">
      <c r="B121" s="83"/>
      <c r="C121" s="130"/>
      <c r="D121" s="543"/>
      <c r="E121" s="133"/>
      <c r="F121" s="133"/>
      <c r="G121" s="161"/>
      <c r="H121" s="161"/>
      <c r="I121" s="161"/>
      <c r="J121" s="161"/>
      <c r="K121" s="161"/>
      <c r="L121" s="161"/>
      <c r="M121" s="87"/>
      <c r="O121" s="77"/>
    </row>
    <row r="122" spans="2:15" x14ac:dyDescent="0.2">
      <c r="B122" s="83"/>
      <c r="C122" s="130"/>
      <c r="D122" s="132" t="s">
        <v>301</v>
      </c>
      <c r="E122" s="133"/>
      <c r="F122" s="133"/>
      <c r="G122" s="358">
        <f t="shared" ref="G122:L122" si="42">G71-F71</f>
        <v>0</v>
      </c>
      <c r="H122" s="358">
        <f t="shared" si="42"/>
        <v>0</v>
      </c>
      <c r="I122" s="358">
        <f t="shared" si="42"/>
        <v>0</v>
      </c>
      <c r="J122" s="358">
        <f t="shared" si="42"/>
        <v>0</v>
      </c>
      <c r="K122" s="358">
        <f t="shared" si="42"/>
        <v>0</v>
      </c>
      <c r="L122" s="358">
        <f t="shared" si="42"/>
        <v>0</v>
      </c>
      <c r="M122" s="87"/>
      <c r="O122" s="77"/>
    </row>
    <row r="123" spans="2:15" x14ac:dyDescent="0.2">
      <c r="B123" s="83"/>
      <c r="C123" s="130"/>
      <c r="D123" s="132"/>
      <c r="E123" s="133"/>
      <c r="F123" s="133"/>
      <c r="G123" s="161"/>
      <c r="H123" s="161"/>
      <c r="I123" s="161"/>
      <c r="J123" s="161"/>
      <c r="K123" s="161"/>
      <c r="L123" s="161"/>
      <c r="M123" s="87"/>
      <c r="O123" s="77"/>
    </row>
    <row r="124" spans="2:15" x14ac:dyDescent="0.2">
      <c r="B124" s="83"/>
      <c r="C124" s="130"/>
      <c r="D124" s="148" t="s">
        <v>168</v>
      </c>
      <c r="E124" s="133"/>
      <c r="F124" s="133"/>
      <c r="G124" s="362">
        <f t="shared" ref="G124:L124" si="43">G111+G113+G120+G122</f>
        <v>1070770.6523333334</v>
      </c>
      <c r="H124" s="362">
        <f t="shared" si="43"/>
        <v>1085733.2929</v>
      </c>
      <c r="I124" s="362">
        <f t="shared" si="43"/>
        <v>1085733.2929</v>
      </c>
      <c r="J124" s="362">
        <f t="shared" si="43"/>
        <v>1085733.2929</v>
      </c>
      <c r="K124" s="362">
        <f t="shared" si="43"/>
        <v>1085733.2929</v>
      </c>
      <c r="L124" s="362">
        <f t="shared" si="43"/>
        <v>1085733.2929</v>
      </c>
      <c r="M124" s="87"/>
      <c r="O124" s="77"/>
    </row>
    <row r="125" spans="2:15" x14ac:dyDescent="0.2">
      <c r="B125" s="83"/>
      <c r="C125" s="130"/>
      <c r="D125" s="132"/>
      <c r="E125" s="133"/>
      <c r="F125" s="133"/>
      <c r="G125" s="161"/>
      <c r="H125" s="161"/>
      <c r="I125" s="161"/>
      <c r="J125" s="161"/>
      <c r="K125" s="161"/>
      <c r="L125" s="161"/>
      <c r="M125" s="87"/>
      <c r="O125" s="77"/>
    </row>
    <row r="126" spans="2:15" x14ac:dyDescent="0.2">
      <c r="B126" s="83"/>
      <c r="C126" s="84"/>
      <c r="D126" s="84"/>
      <c r="E126" s="89"/>
      <c r="F126" s="89"/>
      <c r="G126" s="89"/>
      <c r="H126" s="89"/>
      <c r="I126" s="89"/>
      <c r="J126" s="89"/>
      <c r="K126" s="89"/>
      <c r="L126" s="89"/>
      <c r="M126" s="87"/>
      <c r="O126" s="67"/>
    </row>
    <row r="127" spans="2:15" x14ac:dyDescent="0.2">
      <c r="B127" s="83"/>
      <c r="C127" s="130"/>
      <c r="D127" s="132"/>
      <c r="E127" s="133"/>
      <c r="F127" s="133"/>
      <c r="G127" s="161"/>
      <c r="H127" s="161"/>
      <c r="I127" s="161"/>
      <c r="J127" s="161"/>
      <c r="K127" s="161"/>
      <c r="L127" s="161"/>
      <c r="M127" s="87"/>
      <c r="O127" s="67"/>
    </row>
    <row r="128" spans="2:15" x14ac:dyDescent="0.2">
      <c r="B128" s="83"/>
      <c r="C128" s="130"/>
      <c r="D128" s="484" t="s">
        <v>302</v>
      </c>
      <c r="E128" s="133"/>
      <c r="F128" s="133"/>
      <c r="G128" s="161"/>
      <c r="H128" s="161"/>
      <c r="I128" s="161"/>
      <c r="J128" s="161"/>
      <c r="K128" s="161"/>
      <c r="L128" s="161"/>
      <c r="M128" s="87"/>
    </row>
    <row r="129" spans="2:13" x14ac:dyDescent="0.2">
      <c r="B129" s="83"/>
      <c r="C129" s="130"/>
      <c r="D129" s="148"/>
      <c r="E129" s="133"/>
      <c r="F129" s="133"/>
      <c r="G129" s="161"/>
      <c r="H129" s="161"/>
      <c r="I129" s="161"/>
      <c r="J129" s="161"/>
      <c r="K129" s="161"/>
      <c r="L129" s="161"/>
      <c r="M129" s="87"/>
    </row>
    <row r="130" spans="2:13" x14ac:dyDescent="0.2">
      <c r="B130" s="83"/>
      <c r="C130" s="130"/>
      <c r="D130" s="132" t="s">
        <v>303</v>
      </c>
      <c r="E130" s="133"/>
      <c r="F130" s="133"/>
      <c r="G130" s="438">
        <f t="shared" ref="G130:L130" si="44">G80</f>
        <v>0</v>
      </c>
      <c r="H130" s="438">
        <f t="shared" si="44"/>
        <v>0</v>
      </c>
      <c r="I130" s="438">
        <f t="shared" si="44"/>
        <v>0</v>
      </c>
      <c r="J130" s="438">
        <f t="shared" si="44"/>
        <v>0</v>
      </c>
      <c r="K130" s="438">
        <f t="shared" si="44"/>
        <v>0</v>
      </c>
      <c r="L130" s="438">
        <f t="shared" si="44"/>
        <v>0</v>
      </c>
      <c r="M130" s="87"/>
    </row>
    <row r="131" spans="2:13" x14ac:dyDescent="0.2">
      <c r="B131" s="83"/>
      <c r="C131" s="130"/>
      <c r="D131" s="132" t="s">
        <v>304</v>
      </c>
      <c r="E131" s="133"/>
      <c r="F131" s="133"/>
      <c r="G131" s="438">
        <f t="shared" ref="G131:L131" si="45">G61-F61</f>
        <v>0</v>
      </c>
      <c r="H131" s="438">
        <f t="shared" si="45"/>
        <v>0</v>
      </c>
      <c r="I131" s="438">
        <f t="shared" si="45"/>
        <v>0</v>
      </c>
      <c r="J131" s="438">
        <f t="shared" si="45"/>
        <v>0</v>
      </c>
      <c r="K131" s="438">
        <f t="shared" si="45"/>
        <v>0</v>
      </c>
      <c r="L131" s="438">
        <f t="shared" si="45"/>
        <v>0</v>
      </c>
      <c r="M131" s="87"/>
    </row>
    <row r="132" spans="2:13" x14ac:dyDescent="0.2">
      <c r="B132" s="83"/>
      <c r="C132" s="130"/>
      <c r="D132" s="132" t="s">
        <v>305</v>
      </c>
      <c r="E132" s="133"/>
      <c r="F132" s="133"/>
      <c r="G132" s="438">
        <f t="shared" ref="G132:L132" si="46">G63-F63</f>
        <v>0</v>
      </c>
      <c r="H132" s="438">
        <f t="shared" si="46"/>
        <v>0</v>
      </c>
      <c r="I132" s="438">
        <f t="shared" si="46"/>
        <v>0</v>
      </c>
      <c r="J132" s="438">
        <f t="shared" si="46"/>
        <v>0</v>
      </c>
      <c r="K132" s="438">
        <f t="shared" si="46"/>
        <v>0</v>
      </c>
      <c r="L132" s="438">
        <f t="shared" si="46"/>
        <v>0</v>
      </c>
      <c r="M132" s="87"/>
    </row>
    <row r="133" spans="2:13" x14ac:dyDescent="0.2">
      <c r="B133" s="83"/>
      <c r="C133" s="130"/>
      <c r="D133" s="132"/>
      <c r="E133" s="133"/>
      <c r="F133" s="133"/>
      <c r="G133" s="161"/>
      <c r="H133" s="161"/>
      <c r="I133" s="161"/>
      <c r="J133" s="161"/>
      <c r="K133" s="161"/>
      <c r="L133" s="161"/>
      <c r="M133" s="87"/>
    </row>
    <row r="134" spans="2:13" x14ac:dyDescent="0.2">
      <c r="B134" s="83"/>
      <c r="C134" s="130"/>
      <c r="D134" s="148" t="s">
        <v>30</v>
      </c>
      <c r="E134" s="133"/>
      <c r="F134" s="133"/>
      <c r="G134" s="361">
        <f t="shared" ref="G134:L134" si="47">SUM(G130:G132)</f>
        <v>0</v>
      </c>
      <c r="H134" s="361">
        <f t="shared" si="47"/>
        <v>0</v>
      </c>
      <c r="I134" s="361">
        <f t="shared" si="47"/>
        <v>0</v>
      </c>
      <c r="J134" s="361">
        <f t="shared" si="47"/>
        <v>0</v>
      </c>
      <c r="K134" s="361">
        <f t="shared" si="47"/>
        <v>0</v>
      </c>
      <c r="L134" s="361">
        <f t="shared" si="47"/>
        <v>0</v>
      </c>
      <c r="M134" s="87"/>
    </row>
    <row r="135" spans="2:13" x14ac:dyDescent="0.2">
      <c r="B135" s="83"/>
      <c r="C135" s="130"/>
      <c r="D135" s="132"/>
      <c r="E135" s="133"/>
      <c r="F135" s="133"/>
      <c r="G135" s="161"/>
      <c r="H135" s="161"/>
      <c r="I135" s="161"/>
      <c r="J135" s="161"/>
      <c r="K135" s="161"/>
      <c r="L135" s="161"/>
      <c r="M135" s="87"/>
    </row>
    <row r="136" spans="2:13" x14ac:dyDescent="0.2">
      <c r="B136" s="83"/>
      <c r="C136" s="84"/>
      <c r="D136" s="84"/>
      <c r="E136" s="89"/>
      <c r="F136" s="89"/>
      <c r="G136" s="89"/>
      <c r="H136" s="89"/>
      <c r="I136" s="89"/>
      <c r="J136" s="89"/>
      <c r="K136" s="89"/>
      <c r="L136" s="89"/>
      <c r="M136" s="87"/>
    </row>
    <row r="137" spans="2:13" x14ac:dyDescent="0.2">
      <c r="B137" s="83"/>
      <c r="C137" s="130"/>
      <c r="D137" s="132"/>
      <c r="E137" s="133"/>
      <c r="F137" s="133"/>
      <c r="G137" s="161"/>
      <c r="H137" s="161"/>
      <c r="I137" s="161"/>
      <c r="J137" s="161"/>
      <c r="K137" s="161"/>
      <c r="L137" s="161"/>
      <c r="M137" s="87"/>
    </row>
    <row r="138" spans="2:13" x14ac:dyDescent="0.2">
      <c r="B138" s="83"/>
      <c r="C138" s="130"/>
      <c r="D138" s="484" t="s">
        <v>306</v>
      </c>
      <c r="E138" s="133"/>
      <c r="F138" s="133"/>
      <c r="G138" s="362">
        <f t="shared" ref="G138:L138" si="48">G72-F72</f>
        <v>0</v>
      </c>
      <c r="H138" s="362">
        <f t="shared" si="48"/>
        <v>0</v>
      </c>
      <c r="I138" s="362">
        <f t="shared" si="48"/>
        <v>0</v>
      </c>
      <c r="J138" s="362">
        <f t="shared" si="48"/>
        <v>0</v>
      </c>
      <c r="K138" s="362">
        <f t="shared" si="48"/>
        <v>0</v>
      </c>
      <c r="L138" s="362">
        <f t="shared" si="48"/>
        <v>0</v>
      </c>
      <c r="M138" s="87"/>
    </row>
    <row r="139" spans="2:13" x14ac:dyDescent="0.2">
      <c r="B139" s="83"/>
      <c r="C139" s="130"/>
      <c r="D139" s="148"/>
      <c r="E139" s="133"/>
      <c r="F139" s="133"/>
      <c r="G139" s="161"/>
      <c r="H139" s="161"/>
      <c r="I139" s="161"/>
      <c r="J139" s="161"/>
      <c r="K139" s="161"/>
      <c r="L139" s="161"/>
      <c r="M139" s="87"/>
    </row>
    <row r="140" spans="2:13" x14ac:dyDescent="0.2">
      <c r="B140" s="83"/>
      <c r="C140" s="84"/>
      <c r="D140" s="84"/>
      <c r="E140" s="89"/>
      <c r="F140" s="89"/>
      <c r="G140" s="89"/>
      <c r="H140" s="89"/>
      <c r="I140" s="89"/>
      <c r="J140" s="89"/>
      <c r="K140" s="89"/>
      <c r="L140" s="89"/>
      <c r="M140" s="87"/>
    </row>
    <row r="141" spans="2:13" x14ac:dyDescent="0.2">
      <c r="B141" s="83"/>
      <c r="C141" s="130"/>
      <c r="D141" s="132"/>
      <c r="E141" s="133"/>
      <c r="F141" s="133"/>
      <c r="G141" s="161"/>
      <c r="H141" s="161"/>
      <c r="I141" s="161"/>
      <c r="J141" s="161"/>
      <c r="K141" s="161"/>
      <c r="L141" s="161"/>
      <c r="M141" s="87"/>
    </row>
    <row r="142" spans="2:13" x14ac:dyDescent="0.2">
      <c r="B142" s="83"/>
      <c r="C142" s="130"/>
      <c r="D142" s="488" t="s">
        <v>307</v>
      </c>
      <c r="E142" s="133"/>
      <c r="F142" s="133"/>
      <c r="G142" s="362">
        <f t="shared" ref="G142:L142" si="49">ROUND((G124-G134+G138),0)</f>
        <v>1070771</v>
      </c>
      <c r="H142" s="362">
        <f t="shared" si="49"/>
        <v>1085733</v>
      </c>
      <c r="I142" s="362">
        <f t="shared" si="49"/>
        <v>1085733</v>
      </c>
      <c r="J142" s="362">
        <f t="shared" si="49"/>
        <v>1085733</v>
      </c>
      <c r="K142" s="362">
        <f t="shared" si="49"/>
        <v>1085733</v>
      </c>
      <c r="L142" s="362">
        <f t="shared" si="49"/>
        <v>1085733</v>
      </c>
      <c r="M142" s="87"/>
    </row>
    <row r="143" spans="2:13" x14ac:dyDescent="0.2">
      <c r="B143" s="83"/>
      <c r="C143" s="130"/>
      <c r="D143" s="524" t="s">
        <v>308</v>
      </c>
      <c r="E143" s="544"/>
      <c r="F143" s="544"/>
      <c r="G143" s="545">
        <f t="shared" ref="G143:L143" si="50">G67-F67</f>
        <v>1070770.6523333334</v>
      </c>
      <c r="H143" s="545">
        <f t="shared" si="50"/>
        <v>1085733.2929</v>
      </c>
      <c r="I143" s="545">
        <f t="shared" si="50"/>
        <v>1085733.2929000002</v>
      </c>
      <c r="J143" s="545">
        <f t="shared" si="50"/>
        <v>1085733.2928999998</v>
      </c>
      <c r="K143" s="545">
        <f t="shared" si="50"/>
        <v>1085733.2928999998</v>
      </c>
      <c r="L143" s="545">
        <f t="shared" si="50"/>
        <v>1085733.2928999998</v>
      </c>
      <c r="M143" s="87"/>
    </row>
    <row r="144" spans="2:13" x14ac:dyDescent="0.2">
      <c r="B144" s="83"/>
      <c r="C144" s="130"/>
      <c r="D144" s="132"/>
      <c r="E144" s="133"/>
      <c r="F144" s="133"/>
      <c r="G144" s="161"/>
      <c r="H144" s="161"/>
      <c r="I144" s="161"/>
      <c r="J144" s="161"/>
      <c r="K144" s="161"/>
      <c r="L144" s="161"/>
      <c r="M144" s="87"/>
    </row>
    <row r="145" spans="2:13" x14ac:dyDescent="0.2">
      <c r="B145" s="94"/>
      <c r="C145" s="146"/>
      <c r="D145" s="484" t="s">
        <v>309</v>
      </c>
      <c r="E145" s="142"/>
      <c r="F145" s="142"/>
      <c r="G145" s="362">
        <f t="shared" ref="G145:L145" si="51">G142+F145</f>
        <v>1070771</v>
      </c>
      <c r="H145" s="362">
        <f t="shared" si="51"/>
        <v>2156504</v>
      </c>
      <c r="I145" s="362">
        <f t="shared" si="51"/>
        <v>3242237</v>
      </c>
      <c r="J145" s="362">
        <f t="shared" si="51"/>
        <v>4327970</v>
      </c>
      <c r="K145" s="362">
        <f t="shared" si="51"/>
        <v>5413703</v>
      </c>
      <c r="L145" s="362">
        <f t="shared" si="51"/>
        <v>6499436</v>
      </c>
      <c r="M145" s="95"/>
    </row>
    <row r="146" spans="2:13" x14ac:dyDescent="0.2">
      <c r="B146" s="94"/>
      <c r="C146" s="146"/>
      <c r="D146" s="485" t="s">
        <v>310</v>
      </c>
      <c r="E146" s="546"/>
      <c r="F146" s="546"/>
      <c r="G146" s="547" t="e">
        <f t="shared" ref="G146:L146" si="52">SUM(G64:G67)/G73</f>
        <v>#DIV/0!</v>
      </c>
      <c r="H146" s="547" t="e">
        <f t="shared" si="52"/>
        <v>#DIV/0!</v>
      </c>
      <c r="I146" s="547" t="e">
        <f t="shared" si="52"/>
        <v>#DIV/0!</v>
      </c>
      <c r="J146" s="547" t="e">
        <f t="shared" si="52"/>
        <v>#DIV/0!</v>
      </c>
      <c r="K146" s="547" t="e">
        <f t="shared" si="52"/>
        <v>#DIV/0!</v>
      </c>
      <c r="L146" s="547" t="e">
        <f t="shared" si="52"/>
        <v>#DIV/0!</v>
      </c>
      <c r="M146" s="95"/>
    </row>
    <row r="147" spans="2:13" x14ac:dyDescent="0.2">
      <c r="B147" s="83"/>
      <c r="C147" s="155"/>
      <c r="D147" s="184"/>
      <c r="E147" s="540"/>
      <c r="F147" s="540"/>
      <c r="G147" s="215"/>
      <c r="H147" s="215"/>
      <c r="I147" s="215"/>
      <c r="J147" s="215"/>
      <c r="K147" s="215"/>
      <c r="L147" s="215"/>
      <c r="M147" s="87"/>
    </row>
    <row r="148" spans="2:13" x14ac:dyDescent="0.2">
      <c r="B148" s="83"/>
      <c r="C148" s="84"/>
      <c r="D148" s="84"/>
      <c r="E148" s="89"/>
      <c r="F148" s="119"/>
      <c r="G148" s="119"/>
      <c r="H148" s="119"/>
      <c r="I148" s="119"/>
      <c r="J148" s="119"/>
      <c r="K148" s="119"/>
      <c r="L148" s="119"/>
      <c r="M148" s="87"/>
    </row>
    <row r="149" spans="2:13" x14ac:dyDescent="0.2">
      <c r="B149" s="101"/>
      <c r="C149" s="102"/>
      <c r="D149" s="102"/>
      <c r="E149" s="548"/>
      <c r="F149" s="270"/>
      <c r="G149" s="270"/>
      <c r="H149" s="270"/>
      <c r="I149" s="270"/>
      <c r="J149" s="270"/>
      <c r="K149" s="270"/>
      <c r="L149" s="270"/>
      <c r="M149" s="103"/>
    </row>
  </sheetData>
  <phoneticPr fontId="0" type="noConversion"/>
  <conditionalFormatting sqref="B2">
    <cfRule type="iconSet" priority="1">
      <iconSet iconSet="3Arrows">
        <cfvo type="percent" val="0"/>
        <cfvo type="percent" val="33"/>
        <cfvo type="percent" val="67"/>
      </iconSet>
    </cfRule>
  </conditionalFormatting>
  <pageMargins left="0.74803149606299213" right="0.74803149606299213" top="0.98425196850393704" bottom="0.98425196850393704" header="0.51181102362204722" footer="0.51181102362204722"/>
  <pageSetup paperSize="9" scale="59" orientation="portrait" r:id="rId1"/>
  <headerFooter alignWithMargins="0">
    <oddFooter>&amp;L&amp;D&amp;Rpagina &amp;P</oddFooter>
  </headerFooter>
  <rowBreaks count="1" manualBreakCount="1">
    <brk id="94" min="1" max="15" man="1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8"/>
  <dimension ref="B1:Q288"/>
  <sheetViews>
    <sheetView showGridLines="0" zoomScale="85" zoomScaleNormal="85" zoomScaleSheetLayoutView="85" workbookViewId="0">
      <selection activeCell="M113" sqref="M113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183:E183"/>
    <mergeCell ref="D184:E184"/>
    <mergeCell ref="D185:E185"/>
    <mergeCell ref="D186:E186"/>
    <mergeCell ref="D146:E146"/>
    <mergeCell ref="D149:E149"/>
    <mergeCell ref="D150:E150"/>
    <mergeCell ref="D158:E158"/>
    <mergeCell ref="D161:E161"/>
    <mergeCell ref="D162:E162"/>
    <mergeCell ref="D182:E182"/>
    <mergeCell ref="D196:E196"/>
    <mergeCell ref="D195:E195"/>
    <mergeCell ref="D215:E215"/>
    <mergeCell ref="D197:E197"/>
    <mergeCell ref="D198:E198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19:E119"/>
    <mergeCell ref="D120:E120"/>
    <mergeCell ref="D118:E118"/>
    <mergeCell ref="D131:E131"/>
    <mergeCell ref="D132:E132"/>
  </mergeCells>
  <phoneticPr fontId="0" type="noConversion"/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7"/>
  <dimension ref="B1:Q288"/>
  <sheetViews>
    <sheetView showGridLines="0" zoomScale="85" zoomScaleNormal="85" zoomScaleSheetLayoutView="85" workbookViewId="0">
      <selection activeCell="M113" sqref="M113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183:E183"/>
    <mergeCell ref="D184:E184"/>
    <mergeCell ref="D185:E185"/>
    <mergeCell ref="D186:E186"/>
    <mergeCell ref="D146:E146"/>
    <mergeCell ref="D149:E149"/>
    <mergeCell ref="D150:E150"/>
    <mergeCell ref="D158:E158"/>
    <mergeCell ref="D161:E161"/>
    <mergeCell ref="D162:E162"/>
    <mergeCell ref="D182:E182"/>
    <mergeCell ref="D196:E196"/>
    <mergeCell ref="D195:E195"/>
    <mergeCell ref="D215:E215"/>
    <mergeCell ref="D197:E197"/>
    <mergeCell ref="D198:E198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19:E119"/>
    <mergeCell ref="D120:E120"/>
    <mergeCell ref="D118:E118"/>
    <mergeCell ref="D131:E131"/>
    <mergeCell ref="D132:E132"/>
  </mergeCells>
  <phoneticPr fontId="0" type="noConversion"/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6"/>
  <dimension ref="B1:Q288"/>
  <sheetViews>
    <sheetView showGridLines="0" zoomScale="85" zoomScaleNormal="85" zoomScaleSheetLayoutView="85" workbookViewId="0">
      <selection activeCell="M113" sqref="M113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183:E183"/>
    <mergeCell ref="D184:E184"/>
    <mergeCell ref="D185:E185"/>
    <mergeCell ref="D186:E186"/>
    <mergeCell ref="D146:E146"/>
    <mergeCell ref="D149:E149"/>
    <mergeCell ref="D150:E150"/>
    <mergeCell ref="D158:E158"/>
    <mergeCell ref="D161:E161"/>
    <mergeCell ref="D162:E162"/>
    <mergeCell ref="D182:E182"/>
    <mergeCell ref="D196:E196"/>
    <mergeCell ref="D195:E195"/>
    <mergeCell ref="D215:E215"/>
    <mergeCell ref="D197:E197"/>
    <mergeCell ref="D198:E198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19:E119"/>
    <mergeCell ref="D120:E120"/>
    <mergeCell ref="D118:E118"/>
    <mergeCell ref="D131:E131"/>
    <mergeCell ref="D132:E132"/>
  </mergeCells>
  <phoneticPr fontId="0" type="noConversion"/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288"/>
  <sheetViews>
    <sheetView showGridLines="0" zoomScale="85" zoomScaleNormal="85" zoomScaleSheetLayoutView="85" workbookViewId="0">
      <selection activeCell="M113" sqref="M113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211:E211"/>
    <mergeCell ref="D212:E212"/>
    <mergeCell ref="D213:E213"/>
    <mergeCell ref="D214:E214"/>
    <mergeCell ref="D215:E215"/>
    <mergeCell ref="D210:E210"/>
    <mergeCell ref="D195:E195"/>
    <mergeCell ref="D196:E196"/>
    <mergeCell ref="D197:E197"/>
    <mergeCell ref="D162:E162"/>
    <mergeCell ref="D182:E182"/>
    <mergeCell ref="D183:E183"/>
    <mergeCell ref="D184:E184"/>
    <mergeCell ref="D185:E185"/>
    <mergeCell ref="D186:E186"/>
    <mergeCell ref="D198:E198"/>
    <mergeCell ref="D206:E206"/>
    <mergeCell ref="D207:E207"/>
    <mergeCell ref="D208:E208"/>
    <mergeCell ref="D209:E209"/>
    <mergeCell ref="D161:E161"/>
    <mergeCell ref="D127:E127"/>
    <mergeCell ref="D128:E128"/>
    <mergeCell ref="D131:E131"/>
    <mergeCell ref="D132:E132"/>
    <mergeCell ref="D133:E133"/>
    <mergeCell ref="D134:E134"/>
    <mergeCell ref="D135:E135"/>
    <mergeCell ref="D146:E146"/>
    <mergeCell ref="D149:E149"/>
    <mergeCell ref="D150:E150"/>
    <mergeCell ref="D158:E158"/>
    <mergeCell ref="D126:E126"/>
    <mergeCell ref="D118:E118"/>
    <mergeCell ref="D119:E119"/>
    <mergeCell ref="D120:E120"/>
    <mergeCell ref="D124:E124"/>
    <mergeCell ref="D125:E125"/>
  </mergeCells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288"/>
  <sheetViews>
    <sheetView showGridLines="0" zoomScale="85" zoomScaleNormal="85" zoomScaleSheetLayoutView="85" workbookViewId="0">
      <selection activeCell="M113" sqref="M113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211:E211"/>
    <mergeCell ref="D212:E212"/>
    <mergeCell ref="D213:E213"/>
    <mergeCell ref="D214:E214"/>
    <mergeCell ref="D215:E215"/>
    <mergeCell ref="D210:E210"/>
    <mergeCell ref="D195:E195"/>
    <mergeCell ref="D196:E196"/>
    <mergeCell ref="D197:E197"/>
    <mergeCell ref="D162:E162"/>
    <mergeCell ref="D182:E182"/>
    <mergeCell ref="D183:E183"/>
    <mergeCell ref="D184:E184"/>
    <mergeCell ref="D185:E185"/>
    <mergeCell ref="D186:E186"/>
    <mergeCell ref="D198:E198"/>
    <mergeCell ref="D206:E206"/>
    <mergeCell ref="D207:E207"/>
    <mergeCell ref="D208:E208"/>
    <mergeCell ref="D209:E209"/>
    <mergeCell ref="D161:E161"/>
    <mergeCell ref="D127:E127"/>
    <mergeCell ref="D128:E128"/>
    <mergeCell ref="D131:E131"/>
    <mergeCell ref="D132:E132"/>
    <mergeCell ref="D133:E133"/>
    <mergeCell ref="D134:E134"/>
    <mergeCell ref="D135:E135"/>
    <mergeCell ref="D146:E146"/>
    <mergeCell ref="D149:E149"/>
    <mergeCell ref="D150:E150"/>
    <mergeCell ref="D158:E158"/>
    <mergeCell ref="D126:E126"/>
    <mergeCell ref="D118:E118"/>
    <mergeCell ref="D119:E119"/>
    <mergeCell ref="D120:E120"/>
    <mergeCell ref="D124:E124"/>
    <mergeCell ref="D125:E125"/>
  </mergeCells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288"/>
  <sheetViews>
    <sheetView showGridLines="0" zoomScale="85" zoomScaleNormal="85" zoomScaleSheetLayoutView="85" workbookViewId="0">
      <selection activeCell="M113" sqref="M113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211:E211"/>
    <mergeCell ref="D212:E212"/>
    <mergeCell ref="D213:E213"/>
    <mergeCell ref="D214:E214"/>
    <mergeCell ref="D215:E215"/>
    <mergeCell ref="D210:E210"/>
    <mergeCell ref="D195:E195"/>
    <mergeCell ref="D196:E196"/>
    <mergeCell ref="D197:E197"/>
    <mergeCell ref="D162:E162"/>
    <mergeCell ref="D182:E182"/>
    <mergeCell ref="D183:E183"/>
    <mergeCell ref="D184:E184"/>
    <mergeCell ref="D185:E185"/>
    <mergeCell ref="D186:E186"/>
    <mergeCell ref="D198:E198"/>
    <mergeCell ref="D206:E206"/>
    <mergeCell ref="D207:E207"/>
    <mergeCell ref="D208:E208"/>
    <mergeCell ref="D209:E209"/>
    <mergeCell ref="D161:E161"/>
    <mergeCell ref="D127:E127"/>
    <mergeCell ref="D128:E128"/>
    <mergeCell ref="D131:E131"/>
    <mergeCell ref="D132:E132"/>
    <mergeCell ref="D133:E133"/>
    <mergeCell ref="D134:E134"/>
    <mergeCell ref="D135:E135"/>
    <mergeCell ref="D146:E146"/>
    <mergeCell ref="D149:E149"/>
    <mergeCell ref="D150:E150"/>
    <mergeCell ref="D158:E158"/>
    <mergeCell ref="D126:E126"/>
    <mergeCell ref="D118:E118"/>
    <mergeCell ref="D119:E119"/>
    <mergeCell ref="D120:E120"/>
    <mergeCell ref="D124:E124"/>
    <mergeCell ref="D125:E125"/>
  </mergeCells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288"/>
  <sheetViews>
    <sheetView showGridLines="0" zoomScale="85" zoomScaleNormal="85" zoomScaleSheetLayoutView="85" workbookViewId="0">
      <selection activeCell="M113" sqref="M113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211:E211"/>
    <mergeCell ref="D212:E212"/>
    <mergeCell ref="D213:E213"/>
    <mergeCell ref="D214:E214"/>
    <mergeCell ref="D215:E215"/>
    <mergeCell ref="D210:E210"/>
    <mergeCell ref="D195:E195"/>
    <mergeCell ref="D196:E196"/>
    <mergeCell ref="D197:E197"/>
    <mergeCell ref="D162:E162"/>
    <mergeCell ref="D182:E182"/>
    <mergeCell ref="D183:E183"/>
    <mergeCell ref="D184:E184"/>
    <mergeCell ref="D185:E185"/>
    <mergeCell ref="D186:E186"/>
    <mergeCell ref="D198:E198"/>
    <mergeCell ref="D206:E206"/>
    <mergeCell ref="D207:E207"/>
    <mergeCell ref="D208:E208"/>
    <mergeCell ref="D209:E209"/>
    <mergeCell ref="D161:E161"/>
    <mergeCell ref="D127:E127"/>
    <mergeCell ref="D128:E128"/>
    <mergeCell ref="D131:E131"/>
    <mergeCell ref="D132:E132"/>
    <mergeCell ref="D133:E133"/>
    <mergeCell ref="D134:E134"/>
    <mergeCell ref="D135:E135"/>
    <mergeCell ref="D146:E146"/>
    <mergeCell ref="D149:E149"/>
    <mergeCell ref="D150:E150"/>
    <mergeCell ref="D158:E158"/>
    <mergeCell ref="D126:E126"/>
    <mergeCell ref="D118:E118"/>
    <mergeCell ref="D119:E119"/>
    <mergeCell ref="D120:E120"/>
    <mergeCell ref="D124:E124"/>
    <mergeCell ref="D125:E125"/>
  </mergeCells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288"/>
  <sheetViews>
    <sheetView showGridLines="0" zoomScale="85" zoomScaleNormal="85" zoomScaleSheetLayoutView="85" workbookViewId="0">
      <selection activeCell="M113" sqref="M113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211:E211"/>
    <mergeCell ref="D212:E212"/>
    <mergeCell ref="D213:E213"/>
    <mergeCell ref="D214:E214"/>
    <mergeCell ref="D215:E215"/>
    <mergeCell ref="D210:E210"/>
    <mergeCell ref="D195:E195"/>
    <mergeCell ref="D196:E196"/>
    <mergeCell ref="D197:E197"/>
    <mergeCell ref="D162:E162"/>
    <mergeCell ref="D182:E182"/>
    <mergeCell ref="D183:E183"/>
    <mergeCell ref="D184:E184"/>
    <mergeCell ref="D185:E185"/>
    <mergeCell ref="D186:E186"/>
    <mergeCell ref="D198:E198"/>
    <mergeCell ref="D206:E206"/>
    <mergeCell ref="D207:E207"/>
    <mergeCell ref="D208:E208"/>
    <mergeCell ref="D209:E209"/>
    <mergeCell ref="D161:E161"/>
    <mergeCell ref="D127:E127"/>
    <mergeCell ref="D128:E128"/>
    <mergeCell ref="D131:E131"/>
    <mergeCell ref="D132:E132"/>
    <mergeCell ref="D133:E133"/>
    <mergeCell ref="D134:E134"/>
    <mergeCell ref="D135:E135"/>
    <mergeCell ref="D146:E146"/>
    <mergeCell ref="D149:E149"/>
    <mergeCell ref="D150:E150"/>
    <mergeCell ref="D158:E158"/>
    <mergeCell ref="D126:E126"/>
    <mergeCell ref="D118:E118"/>
    <mergeCell ref="D119:E119"/>
    <mergeCell ref="D120:E120"/>
    <mergeCell ref="D124:E124"/>
    <mergeCell ref="D125:E125"/>
  </mergeCells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288"/>
  <sheetViews>
    <sheetView showGridLines="0" zoomScale="85" zoomScaleNormal="85" zoomScaleSheetLayoutView="85" workbookViewId="0">
      <selection activeCell="M113" sqref="M113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211:E211"/>
    <mergeCell ref="D212:E212"/>
    <mergeCell ref="D213:E213"/>
    <mergeCell ref="D214:E214"/>
    <mergeCell ref="D215:E215"/>
    <mergeCell ref="D210:E210"/>
    <mergeCell ref="D195:E195"/>
    <mergeCell ref="D196:E196"/>
    <mergeCell ref="D197:E197"/>
    <mergeCell ref="D162:E162"/>
    <mergeCell ref="D182:E182"/>
    <mergeCell ref="D183:E183"/>
    <mergeCell ref="D184:E184"/>
    <mergeCell ref="D185:E185"/>
    <mergeCell ref="D186:E186"/>
    <mergeCell ref="D198:E198"/>
    <mergeCell ref="D206:E206"/>
    <mergeCell ref="D207:E207"/>
    <mergeCell ref="D208:E208"/>
    <mergeCell ref="D209:E209"/>
    <mergeCell ref="D161:E161"/>
    <mergeCell ref="D127:E127"/>
    <mergeCell ref="D128:E128"/>
    <mergeCell ref="D131:E131"/>
    <mergeCell ref="D132:E132"/>
    <mergeCell ref="D133:E133"/>
    <mergeCell ref="D134:E134"/>
    <mergeCell ref="D135:E135"/>
    <mergeCell ref="D146:E146"/>
    <mergeCell ref="D149:E149"/>
    <mergeCell ref="D150:E150"/>
    <mergeCell ref="D158:E158"/>
    <mergeCell ref="D126:E126"/>
    <mergeCell ref="D118:E118"/>
    <mergeCell ref="D119:E119"/>
    <mergeCell ref="D120:E120"/>
    <mergeCell ref="D124:E124"/>
    <mergeCell ref="D125:E125"/>
  </mergeCells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288"/>
  <sheetViews>
    <sheetView showGridLines="0" zoomScale="85" zoomScaleNormal="85" zoomScaleSheetLayoutView="85" workbookViewId="0">
      <selection activeCell="M113" sqref="M113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211:E211"/>
    <mergeCell ref="D212:E212"/>
    <mergeCell ref="D213:E213"/>
    <mergeCell ref="D214:E214"/>
    <mergeCell ref="D215:E215"/>
    <mergeCell ref="D210:E210"/>
    <mergeCell ref="D195:E195"/>
    <mergeCell ref="D196:E196"/>
    <mergeCell ref="D197:E197"/>
    <mergeCell ref="D162:E162"/>
    <mergeCell ref="D182:E182"/>
    <mergeCell ref="D183:E183"/>
    <mergeCell ref="D184:E184"/>
    <mergeCell ref="D185:E185"/>
    <mergeCell ref="D186:E186"/>
    <mergeCell ref="D198:E198"/>
    <mergeCell ref="D206:E206"/>
    <mergeCell ref="D207:E207"/>
    <mergeCell ref="D208:E208"/>
    <mergeCell ref="D209:E209"/>
    <mergeCell ref="D161:E161"/>
    <mergeCell ref="D127:E127"/>
    <mergeCell ref="D128:E128"/>
    <mergeCell ref="D131:E131"/>
    <mergeCell ref="D132:E132"/>
    <mergeCell ref="D133:E133"/>
    <mergeCell ref="D134:E134"/>
    <mergeCell ref="D135:E135"/>
    <mergeCell ref="D146:E146"/>
    <mergeCell ref="D149:E149"/>
    <mergeCell ref="D150:E150"/>
    <mergeCell ref="D158:E158"/>
    <mergeCell ref="D126:E126"/>
    <mergeCell ref="D118:E118"/>
    <mergeCell ref="D119:E119"/>
    <mergeCell ref="D120:E120"/>
    <mergeCell ref="D124:E124"/>
    <mergeCell ref="D125:E125"/>
  </mergeCells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8"/>
  <dimension ref="B1:O202"/>
  <sheetViews>
    <sheetView showGridLines="0" zoomScale="85" zoomScaleNormal="85" zoomScaleSheetLayoutView="85" workbookViewId="0">
      <pane ySplit="10" topLeftCell="A11" activePane="bottomLeft" state="frozen"/>
      <selection activeCell="B2" sqref="B2"/>
      <selection pane="bottomLeft" activeCell="B2" sqref="B2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45.7109375" style="67" customWidth="1"/>
    <col min="5" max="5" width="2.7109375" style="67" customWidth="1"/>
    <col min="6" max="12" width="13.85546875" style="67" customWidth="1"/>
    <col min="13" max="13" width="2.7109375" style="67" customWidth="1"/>
    <col min="14" max="14" width="14.7109375" style="67" customWidth="1"/>
    <col min="15" max="15" width="11.5703125" style="67" bestFit="1" customWidth="1"/>
    <col min="16" max="16384" width="9.140625" style="67"/>
  </cols>
  <sheetData>
    <row r="1" spans="2:13" ht="12.75" customHeight="1" x14ac:dyDescent="0.2"/>
    <row r="2" spans="2:13" ht="12" customHeight="1" x14ac:dyDescent="0.2">
      <c r="B2" s="78"/>
      <c r="C2" s="79"/>
      <c r="D2" s="80"/>
      <c r="E2" s="80"/>
      <c r="F2" s="81"/>
      <c r="G2" s="81"/>
      <c r="H2" s="81"/>
      <c r="I2" s="81"/>
      <c r="J2" s="81"/>
      <c r="K2" s="81"/>
      <c r="L2" s="81"/>
      <c r="M2" s="82"/>
    </row>
    <row r="3" spans="2:13" x14ac:dyDescent="0.2">
      <c r="B3" s="83"/>
      <c r="C3" s="84"/>
      <c r="D3" s="85"/>
      <c r="E3" s="85"/>
      <c r="F3" s="86"/>
      <c r="G3" s="86"/>
      <c r="H3" s="86"/>
      <c r="I3" s="86"/>
      <c r="J3" s="86"/>
      <c r="K3" s="86"/>
      <c r="L3" s="86"/>
      <c r="M3" s="87"/>
    </row>
    <row r="4" spans="2:13" s="394" customFormat="1" ht="18.75" x14ac:dyDescent="0.3">
      <c r="B4" s="391"/>
      <c r="C4" s="121" t="s">
        <v>199</v>
      </c>
      <c r="D4" s="493"/>
      <c r="E4" s="493"/>
      <c r="F4" s="494"/>
      <c r="G4" s="494"/>
      <c r="H4" s="494"/>
      <c r="I4" s="494"/>
      <c r="J4" s="494"/>
      <c r="K4" s="494"/>
      <c r="L4" s="494"/>
      <c r="M4" s="393"/>
    </row>
    <row r="5" spans="2:13" s="398" customFormat="1" ht="15.75" x14ac:dyDescent="0.25">
      <c r="B5" s="395"/>
      <c r="C5" s="490" t="str">
        <f>IF(tot!F9="","",tot!F9)</f>
        <v>Proefbestuur</v>
      </c>
      <c r="D5" s="490"/>
      <c r="E5" s="490"/>
      <c r="F5" s="495"/>
      <c r="G5" s="495"/>
      <c r="H5" s="495"/>
      <c r="I5" s="495"/>
      <c r="J5" s="495"/>
      <c r="K5" s="495"/>
      <c r="L5" s="495"/>
      <c r="M5" s="397"/>
    </row>
    <row r="6" spans="2:13" x14ac:dyDescent="0.2">
      <c r="B6" s="83"/>
      <c r="C6" s="496"/>
      <c r="D6" s="489"/>
      <c r="E6" s="489"/>
      <c r="F6" s="497"/>
      <c r="G6" s="497"/>
      <c r="H6" s="497"/>
      <c r="I6" s="497"/>
      <c r="J6" s="497"/>
      <c r="K6" s="497"/>
      <c r="L6" s="497"/>
      <c r="M6" s="87"/>
    </row>
    <row r="7" spans="2:13" x14ac:dyDescent="0.2">
      <c r="B7" s="83"/>
      <c r="C7" s="496"/>
      <c r="D7" s="489"/>
      <c r="E7" s="489"/>
      <c r="F7" s="497"/>
      <c r="G7" s="497"/>
      <c r="H7" s="497"/>
      <c r="I7" s="497"/>
      <c r="J7" s="497"/>
      <c r="K7" s="497"/>
      <c r="L7" s="497"/>
      <c r="M7" s="87"/>
    </row>
    <row r="8" spans="2:13" x14ac:dyDescent="0.2">
      <c r="B8" s="83"/>
      <c r="C8" s="496"/>
      <c r="D8" s="481" t="s">
        <v>32</v>
      </c>
      <c r="E8" s="481"/>
      <c r="F8" s="482" t="str">
        <f>'1'!G8</f>
        <v>2016/17</v>
      </c>
      <c r="G8" s="482" t="str">
        <f>'1'!H8</f>
        <v>2017/18</v>
      </c>
      <c r="H8" s="482" t="str">
        <f>'1'!I8</f>
        <v>2018/19</v>
      </c>
      <c r="I8" s="482" t="str">
        <f>'1'!J8</f>
        <v>2019/20</v>
      </c>
      <c r="J8" s="482" t="str">
        <f>'1'!K8</f>
        <v>2020/21</v>
      </c>
      <c r="K8" s="482" t="str">
        <f>'1'!L8</f>
        <v>2021/22</v>
      </c>
      <c r="L8" s="482" t="str">
        <f>'1'!M8</f>
        <v>2023/23</v>
      </c>
      <c r="M8" s="87"/>
    </row>
    <row r="9" spans="2:13" x14ac:dyDescent="0.2">
      <c r="B9" s="83"/>
      <c r="C9" s="496"/>
      <c r="D9" s="481" t="s">
        <v>71</v>
      </c>
      <c r="E9" s="481"/>
      <c r="F9" s="482">
        <f>'1'!G9</f>
        <v>2016</v>
      </c>
      <c r="G9" s="482">
        <f>'1'!H9</f>
        <v>2017</v>
      </c>
      <c r="H9" s="482">
        <f>'1'!I9</f>
        <v>2018</v>
      </c>
      <c r="I9" s="482">
        <f>'1'!J9</f>
        <v>2019</v>
      </c>
      <c r="J9" s="482">
        <f>'1'!K9</f>
        <v>2020</v>
      </c>
      <c r="K9" s="482">
        <f>'1'!L9</f>
        <v>2021</v>
      </c>
      <c r="L9" s="482">
        <f>'1'!M9</f>
        <v>2022</v>
      </c>
      <c r="M9" s="87"/>
    </row>
    <row r="10" spans="2:13" x14ac:dyDescent="0.2">
      <c r="B10" s="83"/>
      <c r="C10" s="496"/>
      <c r="D10" s="489"/>
      <c r="E10" s="489"/>
      <c r="F10" s="497"/>
      <c r="G10" s="497"/>
      <c r="H10" s="497"/>
      <c r="I10" s="497"/>
      <c r="J10" s="497"/>
      <c r="K10" s="497"/>
      <c r="L10" s="497"/>
      <c r="M10" s="87"/>
    </row>
    <row r="11" spans="2:13" x14ac:dyDescent="0.2">
      <c r="B11" s="83"/>
      <c r="C11" s="200"/>
      <c r="D11" s="192"/>
      <c r="E11" s="127"/>
      <c r="F11" s="201"/>
      <c r="G11" s="201"/>
      <c r="H11" s="201"/>
      <c r="I11" s="201"/>
      <c r="J11" s="201"/>
      <c r="K11" s="201"/>
      <c r="L11" s="201"/>
      <c r="M11" s="87"/>
    </row>
    <row r="12" spans="2:13" x14ac:dyDescent="0.2">
      <c r="B12" s="83"/>
      <c r="C12" s="130"/>
      <c r="D12" s="484" t="s">
        <v>220</v>
      </c>
      <c r="E12" s="132"/>
      <c r="F12" s="188"/>
      <c r="G12" s="188"/>
      <c r="H12" s="188"/>
      <c r="I12" s="188"/>
      <c r="J12" s="188"/>
      <c r="K12" s="188"/>
      <c r="L12" s="188"/>
      <c r="M12" s="87"/>
    </row>
    <row r="13" spans="2:13" x14ac:dyDescent="0.2">
      <c r="B13" s="83"/>
      <c r="C13" s="147"/>
      <c r="D13" s="167"/>
      <c r="E13" s="132"/>
      <c r="F13" s="188"/>
      <c r="G13" s="188"/>
      <c r="H13" s="188"/>
      <c r="I13" s="188"/>
      <c r="J13" s="188"/>
      <c r="K13" s="188"/>
      <c r="L13" s="188"/>
      <c r="M13" s="87"/>
    </row>
    <row r="14" spans="2:13" s="72" customFormat="1" x14ac:dyDescent="0.2">
      <c r="B14" s="94"/>
      <c r="C14" s="146"/>
      <c r="D14" s="148" t="s">
        <v>200</v>
      </c>
      <c r="E14" s="148"/>
      <c r="F14" s="195"/>
      <c r="G14" s="195"/>
      <c r="H14" s="195"/>
      <c r="I14" s="195"/>
      <c r="J14" s="195"/>
      <c r="K14" s="195"/>
      <c r="L14" s="195"/>
      <c r="M14" s="95"/>
    </row>
    <row r="15" spans="2:13" x14ac:dyDescent="0.2">
      <c r="B15" s="83"/>
      <c r="C15" s="147"/>
      <c r="D15" s="256" t="s">
        <v>179</v>
      </c>
      <c r="E15" s="164"/>
      <c r="F15" s="302">
        <v>0</v>
      </c>
      <c r="G15" s="302">
        <f t="shared" ref="G15:L19" si="0">F15</f>
        <v>0</v>
      </c>
      <c r="H15" s="302">
        <f t="shared" si="0"/>
        <v>0</v>
      </c>
      <c r="I15" s="302">
        <f t="shared" si="0"/>
        <v>0</v>
      </c>
      <c r="J15" s="302">
        <f t="shared" si="0"/>
        <v>0</v>
      </c>
      <c r="K15" s="302">
        <f t="shared" si="0"/>
        <v>0</v>
      </c>
      <c r="L15" s="302">
        <f t="shared" si="0"/>
        <v>0</v>
      </c>
      <c r="M15" s="87"/>
    </row>
    <row r="16" spans="2:13" x14ac:dyDescent="0.2">
      <c r="B16" s="83"/>
      <c r="C16" s="147"/>
      <c r="D16" s="256" t="s">
        <v>259</v>
      </c>
      <c r="E16" s="164"/>
      <c r="F16" s="302">
        <v>0</v>
      </c>
      <c r="G16" s="302">
        <f t="shared" si="0"/>
        <v>0</v>
      </c>
      <c r="H16" s="302">
        <f t="shared" si="0"/>
        <v>0</v>
      </c>
      <c r="I16" s="302">
        <f t="shared" si="0"/>
        <v>0</v>
      </c>
      <c r="J16" s="302">
        <f t="shared" si="0"/>
        <v>0</v>
      </c>
      <c r="K16" s="302">
        <f t="shared" si="0"/>
        <v>0</v>
      </c>
      <c r="L16" s="302">
        <f t="shared" si="0"/>
        <v>0</v>
      </c>
      <c r="M16" s="87"/>
    </row>
    <row r="17" spans="2:15" x14ac:dyDescent="0.2">
      <c r="B17" s="83"/>
      <c r="C17" s="147"/>
      <c r="D17" s="256"/>
      <c r="E17" s="164"/>
      <c r="F17" s="302">
        <v>0</v>
      </c>
      <c r="G17" s="302">
        <f t="shared" si="0"/>
        <v>0</v>
      </c>
      <c r="H17" s="302">
        <f t="shared" si="0"/>
        <v>0</v>
      </c>
      <c r="I17" s="302">
        <f t="shared" si="0"/>
        <v>0</v>
      </c>
      <c r="J17" s="302">
        <f t="shared" si="0"/>
        <v>0</v>
      </c>
      <c r="K17" s="302">
        <f t="shared" si="0"/>
        <v>0</v>
      </c>
      <c r="L17" s="302">
        <f t="shared" si="0"/>
        <v>0</v>
      </c>
      <c r="M17" s="87"/>
    </row>
    <row r="18" spans="2:15" x14ac:dyDescent="0.2">
      <c r="B18" s="83"/>
      <c r="C18" s="147"/>
      <c r="D18" s="256"/>
      <c r="E18" s="164"/>
      <c r="F18" s="302">
        <v>0</v>
      </c>
      <c r="G18" s="302">
        <f t="shared" si="0"/>
        <v>0</v>
      </c>
      <c r="H18" s="302">
        <f t="shared" si="0"/>
        <v>0</v>
      </c>
      <c r="I18" s="302">
        <f t="shared" si="0"/>
        <v>0</v>
      </c>
      <c r="J18" s="302">
        <f t="shared" si="0"/>
        <v>0</v>
      </c>
      <c r="K18" s="302">
        <f t="shared" si="0"/>
        <v>0</v>
      </c>
      <c r="L18" s="302">
        <f t="shared" si="0"/>
        <v>0</v>
      </c>
      <c r="M18" s="87"/>
    </row>
    <row r="19" spans="2:15" x14ac:dyDescent="0.2">
      <c r="B19" s="83"/>
      <c r="C19" s="147"/>
      <c r="D19" s="256"/>
      <c r="E19" s="164"/>
      <c r="F19" s="302">
        <v>0</v>
      </c>
      <c r="G19" s="302">
        <f t="shared" si="0"/>
        <v>0</v>
      </c>
      <c r="H19" s="302">
        <f t="shared" si="0"/>
        <v>0</v>
      </c>
      <c r="I19" s="302">
        <f t="shared" si="0"/>
        <v>0</v>
      </c>
      <c r="J19" s="302">
        <f t="shared" si="0"/>
        <v>0</v>
      </c>
      <c r="K19" s="302">
        <f t="shared" si="0"/>
        <v>0</v>
      </c>
      <c r="L19" s="302">
        <f t="shared" si="0"/>
        <v>0</v>
      </c>
      <c r="M19" s="87"/>
    </row>
    <row r="20" spans="2:15" x14ac:dyDescent="0.2">
      <c r="B20" s="83"/>
      <c r="C20" s="147"/>
      <c r="D20" s="144"/>
      <c r="E20" s="141"/>
      <c r="F20" s="443">
        <f t="shared" ref="F20:I20" si="1">SUM(F15:F19)</f>
        <v>0</v>
      </c>
      <c r="G20" s="443">
        <f t="shared" si="1"/>
        <v>0</v>
      </c>
      <c r="H20" s="443">
        <f t="shared" si="1"/>
        <v>0</v>
      </c>
      <c r="I20" s="443">
        <f t="shared" si="1"/>
        <v>0</v>
      </c>
      <c r="J20" s="443">
        <f t="shared" ref="J20:K20" si="2">SUM(J15:J19)</f>
        <v>0</v>
      </c>
      <c r="K20" s="443">
        <f t="shared" si="2"/>
        <v>0</v>
      </c>
      <c r="L20" s="443">
        <f t="shared" ref="L20" si="3">SUM(L15:L19)</f>
        <v>0</v>
      </c>
      <c r="M20" s="87"/>
      <c r="O20" s="239"/>
    </row>
    <row r="21" spans="2:15" x14ac:dyDescent="0.2">
      <c r="B21" s="83"/>
      <c r="C21" s="147"/>
      <c r="D21" s="148" t="s">
        <v>221</v>
      </c>
      <c r="E21" s="132"/>
      <c r="F21" s="188"/>
      <c r="G21" s="188"/>
      <c r="H21" s="188"/>
      <c r="I21" s="188"/>
      <c r="J21" s="188"/>
      <c r="K21" s="188"/>
      <c r="L21" s="188"/>
      <c r="M21" s="87"/>
    </row>
    <row r="22" spans="2:15" x14ac:dyDescent="0.2">
      <c r="B22" s="83"/>
      <c r="C22" s="147"/>
      <c r="D22" s="256"/>
      <c r="E22" s="164"/>
      <c r="F22" s="302">
        <v>0</v>
      </c>
      <c r="G22" s="302">
        <f t="shared" ref="G22:L26" si="4">F22</f>
        <v>0</v>
      </c>
      <c r="H22" s="302">
        <f t="shared" si="4"/>
        <v>0</v>
      </c>
      <c r="I22" s="302">
        <f t="shared" si="4"/>
        <v>0</v>
      </c>
      <c r="J22" s="302">
        <f t="shared" si="4"/>
        <v>0</v>
      </c>
      <c r="K22" s="302">
        <f t="shared" si="4"/>
        <v>0</v>
      </c>
      <c r="L22" s="302">
        <f t="shared" si="4"/>
        <v>0</v>
      </c>
      <c r="M22" s="87"/>
    </row>
    <row r="23" spans="2:15" x14ac:dyDescent="0.2">
      <c r="B23" s="83"/>
      <c r="C23" s="147"/>
      <c r="D23" s="256"/>
      <c r="E23" s="164"/>
      <c r="F23" s="302">
        <v>0</v>
      </c>
      <c r="G23" s="302">
        <f t="shared" si="4"/>
        <v>0</v>
      </c>
      <c r="H23" s="302">
        <f t="shared" si="4"/>
        <v>0</v>
      </c>
      <c r="I23" s="302">
        <f t="shared" si="4"/>
        <v>0</v>
      </c>
      <c r="J23" s="302">
        <f t="shared" si="4"/>
        <v>0</v>
      </c>
      <c r="K23" s="302">
        <f t="shared" si="4"/>
        <v>0</v>
      </c>
      <c r="L23" s="302">
        <f t="shared" si="4"/>
        <v>0</v>
      </c>
      <c r="M23" s="87"/>
    </row>
    <row r="24" spans="2:15" x14ac:dyDescent="0.2">
      <c r="B24" s="83"/>
      <c r="C24" s="147"/>
      <c r="D24" s="256"/>
      <c r="E24" s="164"/>
      <c r="F24" s="302">
        <v>0</v>
      </c>
      <c r="G24" s="302">
        <f t="shared" si="4"/>
        <v>0</v>
      </c>
      <c r="H24" s="302">
        <f t="shared" si="4"/>
        <v>0</v>
      </c>
      <c r="I24" s="302">
        <f t="shared" si="4"/>
        <v>0</v>
      </c>
      <c r="J24" s="302">
        <f t="shared" si="4"/>
        <v>0</v>
      </c>
      <c r="K24" s="302">
        <f t="shared" si="4"/>
        <v>0</v>
      </c>
      <c r="L24" s="302">
        <f t="shared" si="4"/>
        <v>0</v>
      </c>
      <c r="M24" s="87"/>
    </row>
    <row r="25" spans="2:15" x14ac:dyDescent="0.2">
      <c r="B25" s="83"/>
      <c r="C25" s="147"/>
      <c r="D25" s="256"/>
      <c r="E25" s="164"/>
      <c r="F25" s="302">
        <v>0</v>
      </c>
      <c r="G25" s="302">
        <f t="shared" si="4"/>
        <v>0</v>
      </c>
      <c r="H25" s="302">
        <f t="shared" si="4"/>
        <v>0</v>
      </c>
      <c r="I25" s="302">
        <f t="shared" si="4"/>
        <v>0</v>
      </c>
      <c r="J25" s="302">
        <f t="shared" si="4"/>
        <v>0</v>
      </c>
      <c r="K25" s="302">
        <f t="shared" si="4"/>
        <v>0</v>
      </c>
      <c r="L25" s="302">
        <f t="shared" si="4"/>
        <v>0</v>
      </c>
      <c r="M25" s="87"/>
    </row>
    <row r="26" spans="2:15" x14ac:dyDescent="0.2">
      <c r="B26" s="83"/>
      <c r="C26" s="147"/>
      <c r="D26" s="256"/>
      <c r="E26" s="164"/>
      <c r="F26" s="302">
        <v>0</v>
      </c>
      <c r="G26" s="302">
        <f t="shared" si="4"/>
        <v>0</v>
      </c>
      <c r="H26" s="302">
        <f t="shared" si="4"/>
        <v>0</v>
      </c>
      <c r="I26" s="302">
        <f t="shared" si="4"/>
        <v>0</v>
      </c>
      <c r="J26" s="302">
        <f t="shared" si="4"/>
        <v>0</v>
      </c>
      <c r="K26" s="302">
        <f t="shared" si="4"/>
        <v>0</v>
      </c>
      <c r="L26" s="302">
        <f t="shared" si="4"/>
        <v>0</v>
      </c>
      <c r="M26" s="87"/>
    </row>
    <row r="27" spans="2:15" x14ac:dyDescent="0.2">
      <c r="B27" s="83"/>
      <c r="C27" s="147"/>
      <c r="D27" s="144"/>
      <c r="E27" s="141"/>
      <c r="F27" s="444">
        <f t="shared" ref="F27:J27" si="5">SUM(F22:F26)</f>
        <v>0</v>
      </c>
      <c r="G27" s="444">
        <f t="shared" si="5"/>
        <v>0</v>
      </c>
      <c r="H27" s="444">
        <f t="shared" si="5"/>
        <v>0</v>
      </c>
      <c r="I27" s="444">
        <f t="shared" si="5"/>
        <v>0</v>
      </c>
      <c r="J27" s="444">
        <f t="shared" si="5"/>
        <v>0</v>
      </c>
      <c r="K27" s="444">
        <f t="shared" ref="K27:L27" si="6">SUM(K22:K26)</f>
        <v>0</v>
      </c>
      <c r="L27" s="444">
        <f t="shared" si="6"/>
        <v>0</v>
      </c>
      <c r="M27" s="87"/>
    </row>
    <row r="28" spans="2:15" x14ac:dyDescent="0.2">
      <c r="B28" s="83"/>
      <c r="C28" s="174"/>
      <c r="D28" s="141" t="s">
        <v>222</v>
      </c>
      <c r="E28" s="175"/>
      <c r="F28" s="132"/>
      <c r="G28" s="132"/>
      <c r="H28" s="132"/>
      <c r="I28" s="132"/>
      <c r="J28" s="132"/>
      <c r="K28" s="132"/>
      <c r="L28" s="132"/>
      <c r="M28" s="87"/>
      <c r="O28" s="239"/>
    </row>
    <row r="29" spans="2:15" x14ac:dyDescent="0.2">
      <c r="B29" s="83"/>
      <c r="C29" s="174"/>
      <c r="D29" s="144" t="s">
        <v>182</v>
      </c>
      <c r="E29" s="175"/>
      <c r="F29" s="132"/>
      <c r="G29" s="132"/>
      <c r="H29" s="132"/>
      <c r="I29" s="132"/>
      <c r="J29" s="132"/>
      <c r="K29" s="132"/>
      <c r="L29" s="132"/>
      <c r="M29" s="87"/>
      <c r="O29" s="239"/>
    </row>
    <row r="30" spans="2:15" x14ac:dyDescent="0.2">
      <c r="B30" s="83"/>
      <c r="C30" s="174"/>
      <c r="D30" s="262"/>
      <c r="E30" s="175"/>
      <c r="F30" s="302">
        <v>0</v>
      </c>
      <c r="G30" s="302">
        <f t="shared" ref="G30:L39" si="7">F30</f>
        <v>0</v>
      </c>
      <c r="H30" s="302">
        <f t="shared" si="7"/>
        <v>0</v>
      </c>
      <c r="I30" s="302">
        <f t="shared" si="7"/>
        <v>0</v>
      </c>
      <c r="J30" s="302">
        <f t="shared" si="7"/>
        <v>0</v>
      </c>
      <c r="K30" s="302">
        <f t="shared" si="7"/>
        <v>0</v>
      </c>
      <c r="L30" s="302">
        <f t="shared" si="7"/>
        <v>0</v>
      </c>
      <c r="M30" s="87"/>
      <c r="O30" s="239"/>
    </row>
    <row r="31" spans="2:15" x14ac:dyDescent="0.2">
      <c r="B31" s="83"/>
      <c r="C31" s="404"/>
      <c r="D31" s="256"/>
      <c r="E31" s="405"/>
      <c r="F31" s="302">
        <v>0</v>
      </c>
      <c r="G31" s="302">
        <f t="shared" si="7"/>
        <v>0</v>
      </c>
      <c r="H31" s="302">
        <f t="shared" si="7"/>
        <v>0</v>
      </c>
      <c r="I31" s="302">
        <f t="shared" si="7"/>
        <v>0</v>
      </c>
      <c r="J31" s="302">
        <f t="shared" si="7"/>
        <v>0</v>
      </c>
      <c r="K31" s="302">
        <f t="shared" si="7"/>
        <v>0</v>
      </c>
      <c r="L31" s="302">
        <f t="shared" si="7"/>
        <v>0</v>
      </c>
      <c r="M31" s="87"/>
      <c r="O31" s="239"/>
    </row>
    <row r="32" spans="2:15" x14ac:dyDescent="0.2">
      <c r="B32" s="83"/>
      <c r="C32" s="404"/>
      <c r="D32" s="256"/>
      <c r="E32" s="405"/>
      <c r="F32" s="302">
        <v>0</v>
      </c>
      <c r="G32" s="302">
        <f t="shared" si="7"/>
        <v>0</v>
      </c>
      <c r="H32" s="302">
        <f t="shared" si="7"/>
        <v>0</v>
      </c>
      <c r="I32" s="302">
        <f t="shared" si="7"/>
        <v>0</v>
      </c>
      <c r="J32" s="302">
        <f t="shared" si="7"/>
        <v>0</v>
      </c>
      <c r="K32" s="302">
        <f t="shared" si="7"/>
        <v>0</v>
      </c>
      <c r="L32" s="302">
        <f t="shared" si="7"/>
        <v>0</v>
      </c>
      <c r="M32" s="87"/>
      <c r="O32" s="239"/>
    </row>
    <row r="33" spans="2:15" x14ac:dyDescent="0.2">
      <c r="B33" s="83"/>
      <c r="C33" s="174"/>
      <c r="D33" s="256"/>
      <c r="E33" s="175"/>
      <c r="F33" s="302">
        <v>0</v>
      </c>
      <c r="G33" s="302">
        <f t="shared" si="7"/>
        <v>0</v>
      </c>
      <c r="H33" s="302">
        <f t="shared" si="7"/>
        <v>0</v>
      </c>
      <c r="I33" s="302">
        <f t="shared" si="7"/>
        <v>0</v>
      </c>
      <c r="J33" s="302">
        <f t="shared" si="7"/>
        <v>0</v>
      </c>
      <c r="K33" s="302">
        <f t="shared" si="7"/>
        <v>0</v>
      </c>
      <c r="L33" s="302">
        <f t="shared" si="7"/>
        <v>0</v>
      </c>
      <c r="M33" s="87"/>
      <c r="O33" s="239"/>
    </row>
    <row r="34" spans="2:15" x14ac:dyDescent="0.2">
      <c r="B34" s="83"/>
      <c r="C34" s="404"/>
      <c r="D34" s="256"/>
      <c r="E34" s="405"/>
      <c r="F34" s="302">
        <v>0</v>
      </c>
      <c r="G34" s="302">
        <f t="shared" si="7"/>
        <v>0</v>
      </c>
      <c r="H34" s="302">
        <f t="shared" si="7"/>
        <v>0</v>
      </c>
      <c r="I34" s="302">
        <f t="shared" si="7"/>
        <v>0</v>
      </c>
      <c r="J34" s="302">
        <f t="shared" si="7"/>
        <v>0</v>
      </c>
      <c r="K34" s="302">
        <f t="shared" si="7"/>
        <v>0</v>
      </c>
      <c r="L34" s="302">
        <f t="shared" si="7"/>
        <v>0</v>
      </c>
      <c r="M34" s="87"/>
      <c r="O34" s="239"/>
    </row>
    <row r="35" spans="2:15" x14ac:dyDescent="0.2">
      <c r="B35" s="83"/>
      <c r="C35" s="404"/>
      <c r="D35" s="256"/>
      <c r="E35" s="405"/>
      <c r="F35" s="302">
        <v>0</v>
      </c>
      <c r="G35" s="302">
        <f t="shared" si="7"/>
        <v>0</v>
      </c>
      <c r="H35" s="302">
        <f t="shared" si="7"/>
        <v>0</v>
      </c>
      <c r="I35" s="302">
        <f t="shared" si="7"/>
        <v>0</v>
      </c>
      <c r="J35" s="302">
        <f t="shared" si="7"/>
        <v>0</v>
      </c>
      <c r="K35" s="302">
        <f t="shared" si="7"/>
        <v>0</v>
      </c>
      <c r="L35" s="302">
        <f t="shared" si="7"/>
        <v>0</v>
      </c>
      <c r="M35" s="87"/>
      <c r="O35" s="239"/>
    </row>
    <row r="36" spans="2:15" x14ac:dyDescent="0.2">
      <c r="B36" s="83"/>
      <c r="C36" s="404"/>
      <c r="D36" s="256"/>
      <c r="E36" s="405"/>
      <c r="F36" s="302">
        <v>0</v>
      </c>
      <c r="G36" s="302">
        <f t="shared" si="7"/>
        <v>0</v>
      </c>
      <c r="H36" s="302">
        <f t="shared" si="7"/>
        <v>0</v>
      </c>
      <c r="I36" s="302">
        <f t="shared" si="7"/>
        <v>0</v>
      </c>
      <c r="J36" s="302">
        <f t="shared" si="7"/>
        <v>0</v>
      </c>
      <c r="K36" s="302">
        <f t="shared" si="7"/>
        <v>0</v>
      </c>
      <c r="L36" s="302">
        <f t="shared" si="7"/>
        <v>0</v>
      </c>
      <c r="M36" s="87"/>
      <c r="O36" s="239"/>
    </row>
    <row r="37" spans="2:15" x14ac:dyDescent="0.2">
      <c r="B37" s="83"/>
      <c r="C37" s="174"/>
      <c r="D37" s="256"/>
      <c r="E37" s="407"/>
      <c r="F37" s="302">
        <v>0</v>
      </c>
      <c r="G37" s="302">
        <f t="shared" si="7"/>
        <v>0</v>
      </c>
      <c r="H37" s="302">
        <f t="shared" si="7"/>
        <v>0</v>
      </c>
      <c r="I37" s="302">
        <f t="shared" si="7"/>
        <v>0</v>
      </c>
      <c r="J37" s="302">
        <f t="shared" si="7"/>
        <v>0</v>
      </c>
      <c r="K37" s="302">
        <f t="shared" si="7"/>
        <v>0</v>
      </c>
      <c r="L37" s="302">
        <f t="shared" si="7"/>
        <v>0</v>
      </c>
      <c r="M37" s="87"/>
      <c r="O37" s="239"/>
    </row>
    <row r="38" spans="2:15" x14ac:dyDescent="0.2">
      <c r="B38" s="83"/>
      <c r="C38" s="174"/>
      <c r="D38" s="256"/>
      <c r="E38" s="407"/>
      <c r="F38" s="302">
        <v>0</v>
      </c>
      <c r="G38" s="302">
        <f t="shared" si="7"/>
        <v>0</v>
      </c>
      <c r="H38" s="302">
        <f t="shared" si="7"/>
        <v>0</v>
      </c>
      <c r="I38" s="302">
        <f t="shared" si="7"/>
        <v>0</v>
      </c>
      <c r="J38" s="302">
        <f t="shared" si="7"/>
        <v>0</v>
      </c>
      <c r="K38" s="302">
        <f t="shared" si="7"/>
        <v>0</v>
      </c>
      <c r="L38" s="302">
        <f t="shared" si="7"/>
        <v>0</v>
      </c>
      <c r="M38" s="87"/>
      <c r="O38" s="239"/>
    </row>
    <row r="39" spans="2:15" x14ac:dyDescent="0.2">
      <c r="B39" s="83"/>
      <c r="C39" s="404"/>
      <c r="D39" s="256"/>
      <c r="E39" s="405"/>
      <c r="F39" s="302">
        <v>0</v>
      </c>
      <c r="G39" s="302">
        <f t="shared" si="7"/>
        <v>0</v>
      </c>
      <c r="H39" s="302">
        <f t="shared" si="7"/>
        <v>0</v>
      </c>
      <c r="I39" s="302">
        <f t="shared" si="7"/>
        <v>0</v>
      </c>
      <c r="J39" s="302">
        <f t="shared" si="7"/>
        <v>0</v>
      </c>
      <c r="K39" s="302">
        <f t="shared" si="7"/>
        <v>0</v>
      </c>
      <c r="L39" s="302">
        <f t="shared" si="7"/>
        <v>0</v>
      </c>
      <c r="M39" s="87"/>
      <c r="O39" s="239"/>
    </row>
    <row r="40" spans="2:15" x14ac:dyDescent="0.2">
      <c r="B40" s="83"/>
      <c r="C40" s="174"/>
      <c r="D40" s="131"/>
      <c r="E40" s="175"/>
      <c r="F40" s="425">
        <f t="shared" ref="F40:J40" si="8">SUM(F30:F39)</f>
        <v>0</v>
      </c>
      <c r="G40" s="425">
        <f t="shared" si="8"/>
        <v>0</v>
      </c>
      <c r="H40" s="425">
        <f t="shared" si="8"/>
        <v>0</v>
      </c>
      <c r="I40" s="425">
        <f t="shared" si="8"/>
        <v>0</v>
      </c>
      <c r="J40" s="425">
        <f t="shared" si="8"/>
        <v>0</v>
      </c>
      <c r="K40" s="425">
        <f t="shared" ref="K40:L40" si="9">SUM(K30:K39)</f>
        <v>0</v>
      </c>
      <c r="L40" s="425">
        <f t="shared" si="9"/>
        <v>0</v>
      </c>
      <c r="M40" s="87"/>
    </row>
    <row r="41" spans="2:15" x14ac:dyDescent="0.2">
      <c r="B41" s="83"/>
      <c r="C41" s="174"/>
      <c r="D41" s="164" t="s">
        <v>181</v>
      </c>
      <c r="E41" s="406"/>
      <c r="F41" s="132"/>
      <c r="G41" s="132"/>
      <c r="H41" s="132"/>
      <c r="I41" s="132"/>
      <c r="J41" s="132"/>
      <c r="K41" s="132"/>
      <c r="L41" s="132"/>
      <c r="M41" s="87"/>
    </row>
    <row r="42" spans="2:15" x14ac:dyDescent="0.2">
      <c r="B42" s="83"/>
      <c r="C42" s="174"/>
      <c r="D42" s="256"/>
      <c r="E42" s="407"/>
      <c r="F42" s="302">
        <v>0</v>
      </c>
      <c r="G42" s="302">
        <f t="shared" ref="G42:L51" si="10">F42</f>
        <v>0</v>
      </c>
      <c r="H42" s="302">
        <f t="shared" si="10"/>
        <v>0</v>
      </c>
      <c r="I42" s="302">
        <f t="shared" si="10"/>
        <v>0</v>
      </c>
      <c r="J42" s="302">
        <f t="shared" si="10"/>
        <v>0</v>
      </c>
      <c r="K42" s="302">
        <f t="shared" si="10"/>
        <v>0</v>
      </c>
      <c r="L42" s="302">
        <f t="shared" si="10"/>
        <v>0</v>
      </c>
      <c r="M42" s="87"/>
    </row>
    <row r="43" spans="2:15" x14ac:dyDescent="0.2">
      <c r="B43" s="83"/>
      <c r="C43" s="174"/>
      <c r="D43" s="256"/>
      <c r="E43" s="406"/>
      <c r="F43" s="302">
        <v>0</v>
      </c>
      <c r="G43" s="302">
        <f t="shared" si="10"/>
        <v>0</v>
      </c>
      <c r="H43" s="302">
        <f t="shared" si="10"/>
        <v>0</v>
      </c>
      <c r="I43" s="302">
        <f t="shared" si="10"/>
        <v>0</v>
      </c>
      <c r="J43" s="302">
        <f t="shared" si="10"/>
        <v>0</v>
      </c>
      <c r="K43" s="302">
        <f t="shared" si="10"/>
        <v>0</v>
      </c>
      <c r="L43" s="302">
        <f t="shared" si="10"/>
        <v>0</v>
      </c>
      <c r="M43" s="87"/>
    </row>
    <row r="44" spans="2:15" x14ac:dyDescent="0.2">
      <c r="B44" s="83"/>
      <c r="C44" s="174"/>
      <c r="D44" s="256"/>
      <c r="E44" s="407"/>
      <c r="F44" s="302">
        <v>0</v>
      </c>
      <c r="G44" s="302">
        <f t="shared" si="10"/>
        <v>0</v>
      </c>
      <c r="H44" s="302">
        <f t="shared" si="10"/>
        <v>0</v>
      </c>
      <c r="I44" s="302">
        <f t="shared" si="10"/>
        <v>0</v>
      </c>
      <c r="J44" s="302">
        <f t="shared" si="10"/>
        <v>0</v>
      </c>
      <c r="K44" s="302">
        <f t="shared" si="10"/>
        <v>0</v>
      </c>
      <c r="L44" s="302">
        <f t="shared" si="10"/>
        <v>0</v>
      </c>
      <c r="M44" s="87"/>
    </row>
    <row r="45" spans="2:15" x14ac:dyDescent="0.2">
      <c r="B45" s="83"/>
      <c r="C45" s="174"/>
      <c r="D45" s="256"/>
      <c r="E45" s="407"/>
      <c r="F45" s="302">
        <v>0</v>
      </c>
      <c r="G45" s="302">
        <f t="shared" si="10"/>
        <v>0</v>
      </c>
      <c r="H45" s="302">
        <f t="shared" si="10"/>
        <v>0</v>
      </c>
      <c r="I45" s="302">
        <f t="shared" si="10"/>
        <v>0</v>
      </c>
      <c r="J45" s="302">
        <f t="shared" si="10"/>
        <v>0</v>
      </c>
      <c r="K45" s="302">
        <f t="shared" si="10"/>
        <v>0</v>
      </c>
      <c r="L45" s="302">
        <f t="shared" si="10"/>
        <v>0</v>
      </c>
      <c r="M45" s="87"/>
    </row>
    <row r="46" spans="2:15" x14ac:dyDescent="0.2">
      <c r="B46" s="83"/>
      <c r="C46" s="174"/>
      <c r="D46" s="256"/>
      <c r="E46" s="407"/>
      <c r="F46" s="302">
        <v>0</v>
      </c>
      <c r="G46" s="302">
        <f t="shared" si="10"/>
        <v>0</v>
      </c>
      <c r="H46" s="302">
        <f t="shared" si="10"/>
        <v>0</v>
      </c>
      <c r="I46" s="302">
        <f t="shared" si="10"/>
        <v>0</v>
      </c>
      <c r="J46" s="302">
        <f t="shared" si="10"/>
        <v>0</v>
      </c>
      <c r="K46" s="302">
        <f t="shared" si="10"/>
        <v>0</v>
      </c>
      <c r="L46" s="302">
        <f t="shared" si="10"/>
        <v>0</v>
      </c>
      <c r="M46" s="87"/>
    </row>
    <row r="47" spans="2:15" x14ac:dyDescent="0.2">
      <c r="B47" s="83"/>
      <c r="C47" s="174"/>
      <c r="D47" s="256"/>
      <c r="E47" s="407"/>
      <c r="F47" s="302">
        <v>0</v>
      </c>
      <c r="G47" s="302">
        <f t="shared" si="10"/>
        <v>0</v>
      </c>
      <c r="H47" s="302">
        <f t="shared" si="10"/>
        <v>0</v>
      </c>
      <c r="I47" s="302">
        <f t="shared" si="10"/>
        <v>0</v>
      </c>
      <c r="J47" s="302">
        <f t="shared" si="10"/>
        <v>0</v>
      </c>
      <c r="K47" s="302">
        <f t="shared" si="10"/>
        <v>0</v>
      </c>
      <c r="L47" s="302">
        <f t="shared" si="10"/>
        <v>0</v>
      </c>
      <c r="M47" s="87"/>
    </row>
    <row r="48" spans="2:15" x14ac:dyDescent="0.2">
      <c r="B48" s="83"/>
      <c r="C48" s="174"/>
      <c r="D48" s="256"/>
      <c r="E48" s="407"/>
      <c r="F48" s="302">
        <v>0</v>
      </c>
      <c r="G48" s="302">
        <f t="shared" si="10"/>
        <v>0</v>
      </c>
      <c r="H48" s="302">
        <f t="shared" si="10"/>
        <v>0</v>
      </c>
      <c r="I48" s="302">
        <f t="shared" si="10"/>
        <v>0</v>
      </c>
      <c r="J48" s="302">
        <f t="shared" si="10"/>
        <v>0</v>
      </c>
      <c r="K48" s="302">
        <f t="shared" si="10"/>
        <v>0</v>
      </c>
      <c r="L48" s="302">
        <f t="shared" si="10"/>
        <v>0</v>
      </c>
      <c r="M48" s="87"/>
    </row>
    <row r="49" spans="2:15" x14ac:dyDescent="0.2">
      <c r="B49" s="83"/>
      <c r="C49" s="174"/>
      <c r="D49" s="256"/>
      <c r="E49" s="407"/>
      <c r="F49" s="302">
        <v>0</v>
      </c>
      <c r="G49" s="302">
        <f t="shared" si="10"/>
        <v>0</v>
      </c>
      <c r="H49" s="302">
        <f t="shared" si="10"/>
        <v>0</v>
      </c>
      <c r="I49" s="302">
        <f t="shared" si="10"/>
        <v>0</v>
      </c>
      <c r="J49" s="302">
        <f t="shared" si="10"/>
        <v>0</v>
      </c>
      <c r="K49" s="302">
        <f t="shared" si="10"/>
        <v>0</v>
      </c>
      <c r="L49" s="302">
        <f t="shared" si="10"/>
        <v>0</v>
      </c>
      <c r="M49" s="87"/>
    </row>
    <row r="50" spans="2:15" x14ac:dyDescent="0.2">
      <c r="B50" s="83"/>
      <c r="C50" s="174"/>
      <c r="D50" s="256"/>
      <c r="E50" s="407"/>
      <c r="F50" s="302">
        <v>0</v>
      </c>
      <c r="G50" s="302">
        <f t="shared" si="10"/>
        <v>0</v>
      </c>
      <c r="H50" s="302">
        <f t="shared" si="10"/>
        <v>0</v>
      </c>
      <c r="I50" s="302">
        <f t="shared" si="10"/>
        <v>0</v>
      </c>
      <c r="J50" s="302">
        <f t="shared" si="10"/>
        <v>0</v>
      </c>
      <c r="K50" s="302">
        <f t="shared" si="10"/>
        <v>0</v>
      </c>
      <c r="L50" s="302">
        <f t="shared" si="10"/>
        <v>0</v>
      </c>
      <c r="M50" s="87"/>
    </row>
    <row r="51" spans="2:15" x14ac:dyDescent="0.2">
      <c r="B51" s="83"/>
      <c r="C51" s="174"/>
      <c r="D51" s="256"/>
      <c r="E51" s="407"/>
      <c r="F51" s="302">
        <v>0</v>
      </c>
      <c r="G51" s="302">
        <f t="shared" si="10"/>
        <v>0</v>
      </c>
      <c r="H51" s="302">
        <f t="shared" si="10"/>
        <v>0</v>
      </c>
      <c r="I51" s="302">
        <f t="shared" si="10"/>
        <v>0</v>
      </c>
      <c r="J51" s="302">
        <f t="shared" si="10"/>
        <v>0</v>
      </c>
      <c r="K51" s="302">
        <f t="shared" si="10"/>
        <v>0</v>
      </c>
      <c r="L51" s="302">
        <f t="shared" si="10"/>
        <v>0</v>
      </c>
      <c r="M51" s="87"/>
    </row>
    <row r="52" spans="2:15" x14ac:dyDescent="0.2">
      <c r="B52" s="83"/>
      <c r="C52" s="174"/>
      <c r="D52" s="257"/>
      <c r="E52" s="179"/>
      <c r="F52" s="425">
        <f t="shared" ref="F52:J52" si="11">SUM(F42:F51)</f>
        <v>0</v>
      </c>
      <c r="G52" s="425">
        <f t="shared" si="11"/>
        <v>0</v>
      </c>
      <c r="H52" s="425">
        <f t="shared" si="11"/>
        <v>0</v>
      </c>
      <c r="I52" s="425">
        <f t="shared" si="11"/>
        <v>0</v>
      </c>
      <c r="J52" s="425">
        <f t="shared" si="11"/>
        <v>0</v>
      </c>
      <c r="K52" s="425">
        <f t="shared" ref="K52:L52" si="12">SUM(K42:K51)</f>
        <v>0</v>
      </c>
      <c r="L52" s="425">
        <f t="shared" si="12"/>
        <v>0</v>
      </c>
      <c r="M52" s="87"/>
    </row>
    <row r="53" spans="2:15" x14ac:dyDescent="0.2">
      <c r="B53" s="83"/>
      <c r="C53" s="174"/>
      <c r="D53" s="132"/>
      <c r="E53" s="402"/>
      <c r="F53" s="132"/>
      <c r="G53" s="132"/>
      <c r="H53" s="132"/>
      <c r="I53" s="132"/>
      <c r="J53" s="132"/>
      <c r="K53" s="132"/>
      <c r="L53" s="132"/>
      <c r="M53" s="87"/>
    </row>
    <row r="54" spans="2:15" x14ac:dyDescent="0.2">
      <c r="B54" s="83"/>
      <c r="C54" s="174"/>
      <c r="D54" s="164" t="s">
        <v>167</v>
      </c>
      <c r="E54" s="149"/>
      <c r="F54" s="422">
        <f t="shared" ref="F54:I54" si="13">F40-F52</f>
        <v>0</v>
      </c>
      <c r="G54" s="422">
        <f t="shared" si="13"/>
        <v>0</v>
      </c>
      <c r="H54" s="422">
        <f t="shared" si="13"/>
        <v>0</v>
      </c>
      <c r="I54" s="422">
        <f t="shared" si="13"/>
        <v>0</v>
      </c>
      <c r="J54" s="422">
        <f t="shared" ref="J54:K54" si="14">J40-J52</f>
        <v>0</v>
      </c>
      <c r="K54" s="422">
        <f t="shared" si="14"/>
        <v>0</v>
      </c>
      <c r="L54" s="422">
        <f t="shared" ref="L54" si="15">L40-L52</f>
        <v>0</v>
      </c>
      <c r="M54" s="87"/>
    </row>
    <row r="55" spans="2:15" x14ac:dyDescent="0.2">
      <c r="B55" s="83"/>
      <c r="C55" s="147"/>
      <c r="D55" s="144"/>
      <c r="E55" s="141"/>
      <c r="F55" s="161"/>
      <c r="G55" s="161"/>
      <c r="H55" s="161"/>
      <c r="I55" s="161"/>
      <c r="J55" s="161"/>
      <c r="K55" s="161"/>
      <c r="L55" s="161"/>
      <c r="M55" s="87"/>
    </row>
    <row r="56" spans="2:15" s="72" customFormat="1" x14ac:dyDescent="0.2">
      <c r="B56" s="94"/>
      <c r="C56" s="146"/>
      <c r="D56" s="141" t="s">
        <v>168</v>
      </c>
      <c r="E56" s="141"/>
      <c r="F56" s="443">
        <f t="shared" ref="F56:I56" si="16">F20+F27+F54</f>
        <v>0</v>
      </c>
      <c r="G56" s="443">
        <f t="shared" si="16"/>
        <v>0</v>
      </c>
      <c r="H56" s="443">
        <f t="shared" si="16"/>
        <v>0</v>
      </c>
      <c r="I56" s="443">
        <f t="shared" si="16"/>
        <v>0</v>
      </c>
      <c r="J56" s="443">
        <f t="shared" ref="J56:K56" si="17">J20+J27+J54</f>
        <v>0</v>
      </c>
      <c r="K56" s="443">
        <f t="shared" si="17"/>
        <v>0</v>
      </c>
      <c r="L56" s="443">
        <f t="shared" ref="L56" si="18">L20+L27+L54</f>
        <v>0</v>
      </c>
      <c r="M56" s="95"/>
    </row>
    <row r="57" spans="2:15" x14ac:dyDescent="0.2">
      <c r="B57" s="83"/>
      <c r="C57" s="198"/>
      <c r="D57" s="448" t="s">
        <v>71</v>
      </c>
      <c r="E57" s="204"/>
      <c r="F57" s="447"/>
      <c r="G57" s="447">
        <f t="shared" ref="G57:L57" si="19">7/12*(F56-F27)+5/12*(G56-G27)+G27</f>
        <v>0</v>
      </c>
      <c r="H57" s="447">
        <f t="shared" si="19"/>
        <v>0</v>
      </c>
      <c r="I57" s="447">
        <f t="shared" si="19"/>
        <v>0</v>
      </c>
      <c r="J57" s="447">
        <f t="shared" si="19"/>
        <v>0</v>
      </c>
      <c r="K57" s="447">
        <f t="shared" si="19"/>
        <v>0</v>
      </c>
      <c r="L57" s="447">
        <f t="shared" si="19"/>
        <v>0</v>
      </c>
      <c r="M57" s="95"/>
    </row>
    <row r="58" spans="2:15" x14ac:dyDescent="0.2">
      <c r="B58" s="83"/>
      <c r="C58" s="97"/>
      <c r="D58" s="93"/>
      <c r="E58" s="92"/>
      <c r="F58" s="111"/>
      <c r="G58" s="111"/>
      <c r="H58" s="111"/>
      <c r="I58" s="111"/>
      <c r="J58" s="111"/>
      <c r="K58" s="111"/>
      <c r="L58" s="111"/>
      <c r="M58" s="87"/>
    </row>
    <row r="59" spans="2:15" x14ac:dyDescent="0.2">
      <c r="B59" s="83"/>
      <c r="C59" s="200"/>
      <c r="D59" s="210"/>
      <c r="E59" s="218"/>
      <c r="F59" s="193"/>
      <c r="G59" s="193"/>
      <c r="H59" s="193"/>
      <c r="I59" s="193"/>
      <c r="J59" s="193"/>
      <c r="K59" s="193"/>
      <c r="L59" s="193"/>
      <c r="M59" s="87"/>
    </row>
    <row r="60" spans="2:15" x14ac:dyDescent="0.2">
      <c r="B60" s="83"/>
      <c r="C60" s="147"/>
      <c r="D60" s="488" t="s">
        <v>216</v>
      </c>
      <c r="E60" s="132"/>
      <c r="F60" s="258"/>
      <c r="G60" s="258"/>
      <c r="H60" s="258"/>
      <c r="I60" s="258"/>
      <c r="J60" s="258"/>
      <c r="K60" s="258"/>
      <c r="L60" s="258"/>
      <c r="M60" s="87"/>
      <c r="O60" s="239"/>
    </row>
    <row r="61" spans="2:15" x14ac:dyDescent="0.2">
      <c r="B61" s="83"/>
      <c r="C61" s="147"/>
      <c r="D61" s="141"/>
      <c r="E61" s="132"/>
      <c r="F61" s="258"/>
      <c r="G61" s="258"/>
      <c r="H61" s="258"/>
      <c r="I61" s="258"/>
      <c r="J61" s="258"/>
      <c r="K61" s="258"/>
      <c r="L61" s="258"/>
      <c r="M61" s="87"/>
      <c r="O61" s="239"/>
    </row>
    <row r="62" spans="2:15" x14ac:dyDescent="0.2">
      <c r="B62" s="83"/>
      <c r="C62" s="147"/>
      <c r="D62" s="256"/>
      <c r="E62" s="132"/>
      <c r="F62" s="302">
        <v>0</v>
      </c>
      <c r="G62" s="302">
        <f t="shared" ref="G62:L66" si="20">F62</f>
        <v>0</v>
      </c>
      <c r="H62" s="302">
        <f t="shared" si="20"/>
        <v>0</v>
      </c>
      <c r="I62" s="302">
        <f t="shared" si="20"/>
        <v>0</v>
      </c>
      <c r="J62" s="302">
        <f t="shared" si="20"/>
        <v>0</v>
      </c>
      <c r="K62" s="302">
        <f t="shared" si="20"/>
        <v>0</v>
      </c>
      <c r="L62" s="302">
        <f t="shared" si="20"/>
        <v>0</v>
      </c>
      <c r="M62" s="87"/>
      <c r="O62" s="239"/>
    </row>
    <row r="63" spans="2:15" x14ac:dyDescent="0.2">
      <c r="B63" s="83"/>
      <c r="C63" s="147"/>
      <c r="D63" s="256"/>
      <c r="E63" s="132"/>
      <c r="F63" s="302">
        <v>0</v>
      </c>
      <c r="G63" s="302">
        <f t="shared" si="20"/>
        <v>0</v>
      </c>
      <c r="H63" s="302">
        <f t="shared" si="20"/>
        <v>0</v>
      </c>
      <c r="I63" s="302">
        <f t="shared" si="20"/>
        <v>0</v>
      </c>
      <c r="J63" s="302">
        <f t="shared" si="20"/>
        <v>0</v>
      </c>
      <c r="K63" s="302">
        <f t="shared" si="20"/>
        <v>0</v>
      </c>
      <c r="L63" s="302">
        <f t="shared" si="20"/>
        <v>0</v>
      </c>
      <c r="M63" s="87"/>
      <c r="O63" s="239"/>
    </row>
    <row r="64" spans="2:15" x14ac:dyDescent="0.2">
      <c r="B64" s="83"/>
      <c r="C64" s="147"/>
      <c r="D64" s="256"/>
      <c r="E64" s="132"/>
      <c r="F64" s="302">
        <v>0</v>
      </c>
      <c r="G64" s="302">
        <f t="shared" si="20"/>
        <v>0</v>
      </c>
      <c r="H64" s="302">
        <f t="shared" si="20"/>
        <v>0</v>
      </c>
      <c r="I64" s="302">
        <f t="shared" si="20"/>
        <v>0</v>
      </c>
      <c r="J64" s="302">
        <f t="shared" si="20"/>
        <v>0</v>
      </c>
      <c r="K64" s="302">
        <f t="shared" si="20"/>
        <v>0</v>
      </c>
      <c r="L64" s="302">
        <f t="shared" si="20"/>
        <v>0</v>
      </c>
      <c r="M64" s="87"/>
      <c r="O64" s="239"/>
    </row>
    <row r="65" spans="2:15" x14ac:dyDescent="0.2">
      <c r="B65" s="83"/>
      <c r="C65" s="147"/>
      <c r="D65" s="256"/>
      <c r="E65" s="132"/>
      <c r="F65" s="302">
        <v>0</v>
      </c>
      <c r="G65" s="302">
        <f t="shared" si="20"/>
        <v>0</v>
      </c>
      <c r="H65" s="302">
        <f t="shared" si="20"/>
        <v>0</v>
      </c>
      <c r="I65" s="302">
        <f t="shared" si="20"/>
        <v>0</v>
      </c>
      <c r="J65" s="302">
        <f t="shared" si="20"/>
        <v>0</v>
      </c>
      <c r="K65" s="302">
        <f t="shared" si="20"/>
        <v>0</v>
      </c>
      <c r="L65" s="302">
        <f t="shared" si="20"/>
        <v>0</v>
      </c>
      <c r="M65" s="87"/>
      <c r="O65" s="239"/>
    </row>
    <row r="66" spans="2:15" x14ac:dyDescent="0.2">
      <c r="B66" s="83"/>
      <c r="C66" s="147"/>
      <c r="D66" s="256"/>
      <c r="E66" s="132"/>
      <c r="F66" s="302">
        <v>0</v>
      </c>
      <c r="G66" s="302">
        <f t="shared" si="20"/>
        <v>0</v>
      </c>
      <c r="H66" s="302">
        <f t="shared" si="20"/>
        <v>0</v>
      </c>
      <c r="I66" s="302">
        <f t="shared" si="20"/>
        <v>0</v>
      </c>
      <c r="J66" s="302">
        <f t="shared" si="20"/>
        <v>0</v>
      </c>
      <c r="K66" s="302">
        <f t="shared" si="20"/>
        <v>0</v>
      </c>
      <c r="L66" s="302">
        <f t="shared" si="20"/>
        <v>0</v>
      </c>
      <c r="M66" s="87"/>
    </row>
    <row r="67" spans="2:15" x14ac:dyDescent="0.2">
      <c r="B67" s="83"/>
      <c r="C67" s="147"/>
      <c r="D67" s="132"/>
      <c r="E67" s="132"/>
      <c r="F67" s="177"/>
      <c r="G67" s="177"/>
      <c r="H67" s="177"/>
      <c r="I67" s="177"/>
      <c r="J67" s="177"/>
      <c r="K67" s="177"/>
      <c r="L67" s="177"/>
      <c r="M67" s="87"/>
    </row>
    <row r="68" spans="2:15" s="72" customFormat="1" x14ac:dyDescent="0.2">
      <c r="B68" s="94"/>
      <c r="C68" s="146"/>
      <c r="D68" s="141" t="s">
        <v>30</v>
      </c>
      <c r="E68" s="148"/>
      <c r="F68" s="443">
        <f t="shared" ref="F68:J68" si="21">SUM(F62:F66)</f>
        <v>0</v>
      </c>
      <c r="G68" s="443">
        <f t="shared" si="21"/>
        <v>0</v>
      </c>
      <c r="H68" s="443">
        <f t="shared" si="21"/>
        <v>0</v>
      </c>
      <c r="I68" s="443">
        <f t="shared" si="21"/>
        <v>0</v>
      </c>
      <c r="J68" s="443">
        <f t="shared" si="21"/>
        <v>0</v>
      </c>
      <c r="K68" s="443">
        <f t="shared" ref="K68:L68" si="22">SUM(K62:K66)</f>
        <v>0</v>
      </c>
      <c r="L68" s="443">
        <f t="shared" si="22"/>
        <v>0</v>
      </c>
      <c r="M68" s="95"/>
    </row>
    <row r="69" spans="2:15" x14ac:dyDescent="0.2">
      <c r="B69" s="83"/>
      <c r="C69" s="146"/>
      <c r="D69" s="448" t="s">
        <v>71</v>
      </c>
      <c r="E69" s="204"/>
      <c r="F69" s="457"/>
      <c r="G69" s="457">
        <f t="shared" ref="G69" si="23">7/12*(F68-F42)+5/12*(G68-G42)+G42</f>
        <v>0</v>
      </c>
      <c r="H69" s="457">
        <f>7/12*(G68-G42)+5/12*(H68-H42)+H42</f>
        <v>0</v>
      </c>
      <c r="I69" s="457">
        <f>7/12*(H68-H42)+5/12*(I68-I42)+I42</f>
        <v>0</v>
      </c>
      <c r="J69" s="457">
        <f>7/12*(I68-I42)+5/12*(J68-J42)+J42</f>
        <v>0</v>
      </c>
      <c r="K69" s="457">
        <f>7/12*(J68-J42)+5/12*(K68-K42)+K42</f>
        <v>0</v>
      </c>
      <c r="L69" s="457">
        <f>7/12*(K68-K42)+5/12*(L68-L42)+L42</f>
        <v>0</v>
      </c>
      <c r="M69" s="95"/>
    </row>
    <row r="70" spans="2:15" x14ac:dyDescent="0.2">
      <c r="B70" s="83"/>
      <c r="C70" s="97"/>
      <c r="D70" s="93"/>
      <c r="E70" s="92"/>
      <c r="F70" s="111"/>
      <c r="G70" s="111"/>
      <c r="H70" s="111"/>
      <c r="I70" s="111"/>
      <c r="J70" s="111"/>
      <c r="K70" s="111"/>
      <c r="L70" s="111"/>
      <c r="M70" s="87"/>
    </row>
    <row r="71" spans="2:15" x14ac:dyDescent="0.2">
      <c r="B71" s="83"/>
      <c r="C71" s="146"/>
      <c r="D71" s="170"/>
      <c r="E71" s="148"/>
      <c r="F71" s="189"/>
      <c r="G71" s="189"/>
      <c r="H71" s="189"/>
      <c r="I71" s="189"/>
      <c r="J71" s="189"/>
      <c r="K71" s="189"/>
      <c r="L71" s="189"/>
      <c r="M71" s="87"/>
    </row>
    <row r="72" spans="2:15" x14ac:dyDescent="0.2">
      <c r="B72" s="83"/>
      <c r="C72" s="146"/>
      <c r="D72" s="484" t="s">
        <v>215</v>
      </c>
      <c r="E72" s="148"/>
      <c r="F72" s="189"/>
      <c r="G72" s="189"/>
      <c r="H72" s="189"/>
      <c r="I72" s="189"/>
      <c r="J72" s="189"/>
      <c r="K72" s="189"/>
      <c r="L72" s="189"/>
      <c r="M72" s="87"/>
    </row>
    <row r="73" spans="2:15" x14ac:dyDescent="0.2">
      <c r="B73" s="83"/>
      <c r="C73" s="146"/>
      <c r="D73" s="167"/>
      <c r="E73" s="148"/>
      <c r="F73" s="189"/>
      <c r="G73" s="189"/>
      <c r="H73" s="189"/>
      <c r="I73" s="189"/>
      <c r="J73" s="189"/>
      <c r="K73" s="189"/>
      <c r="L73" s="189"/>
      <c r="M73" s="87"/>
    </row>
    <row r="74" spans="2:15" x14ac:dyDescent="0.2">
      <c r="B74" s="83"/>
      <c r="C74" s="146"/>
      <c r="D74" s="256"/>
      <c r="E74" s="148"/>
      <c r="F74" s="302">
        <v>0</v>
      </c>
      <c r="G74" s="302">
        <f t="shared" ref="G74:L78" si="24">F74</f>
        <v>0</v>
      </c>
      <c r="H74" s="302">
        <f t="shared" si="24"/>
        <v>0</v>
      </c>
      <c r="I74" s="302">
        <f t="shared" si="24"/>
        <v>0</v>
      </c>
      <c r="J74" s="302">
        <f t="shared" si="24"/>
        <v>0</v>
      </c>
      <c r="K74" s="302">
        <f t="shared" si="24"/>
        <v>0</v>
      </c>
      <c r="L74" s="302">
        <f t="shared" si="24"/>
        <v>0</v>
      </c>
      <c r="M74" s="87"/>
    </row>
    <row r="75" spans="2:15" x14ac:dyDescent="0.2">
      <c r="B75" s="83"/>
      <c r="C75" s="146"/>
      <c r="D75" s="256"/>
      <c r="E75" s="148"/>
      <c r="F75" s="302">
        <v>0</v>
      </c>
      <c r="G75" s="302">
        <f t="shared" si="24"/>
        <v>0</v>
      </c>
      <c r="H75" s="302">
        <f t="shared" si="24"/>
        <v>0</v>
      </c>
      <c r="I75" s="302">
        <f t="shared" si="24"/>
        <v>0</v>
      </c>
      <c r="J75" s="302">
        <f t="shared" si="24"/>
        <v>0</v>
      </c>
      <c r="K75" s="302">
        <f t="shared" si="24"/>
        <v>0</v>
      </c>
      <c r="L75" s="302">
        <f t="shared" si="24"/>
        <v>0</v>
      </c>
      <c r="M75" s="87"/>
    </row>
    <row r="76" spans="2:15" x14ac:dyDescent="0.2">
      <c r="B76" s="83"/>
      <c r="C76" s="146"/>
      <c r="D76" s="256"/>
      <c r="E76" s="148"/>
      <c r="F76" s="302">
        <v>0</v>
      </c>
      <c r="G76" s="302">
        <f t="shared" si="24"/>
        <v>0</v>
      </c>
      <c r="H76" s="302">
        <f t="shared" si="24"/>
        <v>0</v>
      </c>
      <c r="I76" s="302">
        <f t="shared" si="24"/>
        <v>0</v>
      </c>
      <c r="J76" s="302">
        <f t="shared" si="24"/>
        <v>0</v>
      </c>
      <c r="K76" s="302">
        <f t="shared" si="24"/>
        <v>0</v>
      </c>
      <c r="L76" s="302">
        <f t="shared" si="24"/>
        <v>0</v>
      </c>
      <c r="M76" s="87"/>
    </row>
    <row r="77" spans="2:15" x14ac:dyDescent="0.2">
      <c r="B77" s="83"/>
      <c r="C77" s="146"/>
      <c r="D77" s="256"/>
      <c r="E77" s="148"/>
      <c r="F77" s="302">
        <v>0</v>
      </c>
      <c r="G77" s="302">
        <f t="shared" si="24"/>
        <v>0</v>
      </c>
      <c r="H77" s="302">
        <f t="shared" si="24"/>
        <v>0</v>
      </c>
      <c r="I77" s="302">
        <f t="shared" si="24"/>
        <v>0</v>
      </c>
      <c r="J77" s="302">
        <f t="shared" si="24"/>
        <v>0</v>
      </c>
      <c r="K77" s="302">
        <f t="shared" si="24"/>
        <v>0</v>
      </c>
      <c r="L77" s="302">
        <f t="shared" si="24"/>
        <v>0</v>
      </c>
      <c r="M77" s="87"/>
    </row>
    <row r="78" spans="2:15" x14ac:dyDescent="0.2">
      <c r="B78" s="83"/>
      <c r="C78" s="146"/>
      <c r="D78" s="256"/>
      <c r="E78" s="148"/>
      <c r="F78" s="302">
        <v>0</v>
      </c>
      <c r="G78" s="302">
        <f t="shared" si="24"/>
        <v>0</v>
      </c>
      <c r="H78" s="302">
        <f t="shared" si="24"/>
        <v>0</v>
      </c>
      <c r="I78" s="302">
        <f t="shared" si="24"/>
        <v>0</v>
      </c>
      <c r="J78" s="302">
        <f t="shared" si="24"/>
        <v>0</v>
      </c>
      <c r="K78" s="302">
        <f t="shared" si="24"/>
        <v>0</v>
      </c>
      <c r="L78" s="302">
        <f t="shared" si="24"/>
        <v>0</v>
      </c>
      <c r="M78" s="87"/>
    </row>
    <row r="79" spans="2:15" x14ac:dyDescent="0.2">
      <c r="B79" s="83"/>
      <c r="C79" s="146"/>
      <c r="D79" s="132"/>
      <c r="E79" s="148"/>
      <c r="F79" s="177"/>
      <c r="G79" s="177"/>
      <c r="H79" s="177"/>
      <c r="I79" s="177"/>
      <c r="J79" s="177"/>
      <c r="K79" s="177"/>
      <c r="L79" s="177"/>
      <c r="M79" s="87"/>
    </row>
    <row r="80" spans="2:15" s="72" customFormat="1" x14ac:dyDescent="0.2">
      <c r="B80" s="94"/>
      <c r="C80" s="146"/>
      <c r="D80" s="141" t="s">
        <v>30</v>
      </c>
      <c r="E80" s="148"/>
      <c r="F80" s="443">
        <f t="shared" ref="F80:J80" si="25">SUM(F74:F78)</f>
        <v>0</v>
      </c>
      <c r="G80" s="443">
        <f t="shared" si="25"/>
        <v>0</v>
      </c>
      <c r="H80" s="443">
        <f t="shared" si="25"/>
        <v>0</v>
      </c>
      <c r="I80" s="443">
        <f t="shared" si="25"/>
        <v>0</v>
      </c>
      <c r="J80" s="443">
        <f t="shared" si="25"/>
        <v>0</v>
      </c>
      <c r="K80" s="443">
        <f t="shared" ref="K80:L80" si="26">SUM(K74:K78)</f>
        <v>0</v>
      </c>
      <c r="L80" s="443">
        <f t="shared" si="26"/>
        <v>0</v>
      </c>
      <c r="M80" s="95"/>
    </row>
    <row r="81" spans="2:13" x14ac:dyDescent="0.2">
      <c r="B81" s="83"/>
      <c r="C81" s="198"/>
      <c r="D81" s="448" t="s">
        <v>71</v>
      </c>
      <c r="E81" s="204"/>
      <c r="F81" s="457"/>
      <c r="G81" s="457">
        <f t="shared" ref="G81" si="27">7/12*(F80-F54)+5/12*(G80-G54)+G54</f>
        <v>0</v>
      </c>
      <c r="H81" s="457">
        <f>7/12*(G80-G54)+5/12*(H80-H54)+H54</f>
        <v>0</v>
      </c>
      <c r="I81" s="457">
        <f>7/12*(H80-H54)+5/12*(I80-I54)+I54</f>
        <v>0</v>
      </c>
      <c r="J81" s="457">
        <f>7/12*(I80-I54)+5/12*(J80-J54)+J54</f>
        <v>0</v>
      </c>
      <c r="K81" s="457">
        <f>7/12*(J80-J54)+5/12*(K80-K54)+K54</f>
        <v>0</v>
      </c>
      <c r="L81" s="457">
        <f>7/12*(K80-K54)+5/12*(L80-L54)+L54</f>
        <v>0</v>
      </c>
      <c r="M81" s="95"/>
    </row>
    <row r="82" spans="2:13" x14ac:dyDescent="0.2">
      <c r="B82" s="83"/>
      <c r="C82" s="97"/>
      <c r="D82" s="84"/>
      <c r="E82" s="84"/>
      <c r="F82" s="245"/>
      <c r="G82" s="245"/>
      <c r="H82" s="245"/>
      <c r="I82" s="245"/>
      <c r="J82" s="245"/>
      <c r="K82" s="245"/>
      <c r="L82" s="245"/>
      <c r="M82" s="87"/>
    </row>
    <row r="83" spans="2:13" x14ac:dyDescent="0.2">
      <c r="B83" s="101"/>
      <c r="C83" s="248"/>
      <c r="D83" s="102"/>
      <c r="E83" s="102"/>
      <c r="F83" s="266"/>
      <c r="G83" s="266"/>
      <c r="H83" s="266"/>
      <c r="I83" s="266"/>
      <c r="J83" s="266"/>
      <c r="K83" s="266"/>
      <c r="L83" s="266"/>
      <c r="M83" s="103"/>
    </row>
    <row r="84" spans="2:13" x14ac:dyDescent="0.2">
      <c r="B84" s="78"/>
      <c r="C84" s="116"/>
      <c r="D84" s="79"/>
      <c r="E84" s="79"/>
      <c r="F84" s="267"/>
      <c r="G84" s="267"/>
      <c r="H84" s="267"/>
      <c r="I84" s="267"/>
      <c r="J84" s="267"/>
      <c r="K84" s="267"/>
      <c r="L84" s="267"/>
      <c r="M84" s="82"/>
    </row>
    <row r="85" spans="2:13" x14ac:dyDescent="0.2">
      <c r="B85" s="83"/>
      <c r="C85" s="97"/>
      <c r="D85" s="84"/>
      <c r="E85" s="84"/>
      <c r="F85" s="245"/>
      <c r="G85" s="245"/>
      <c r="H85" s="245"/>
      <c r="I85" s="245"/>
      <c r="J85" s="245"/>
      <c r="K85" s="245"/>
      <c r="L85" s="245"/>
      <c r="M85" s="87"/>
    </row>
    <row r="86" spans="2:13" x14ac:dyDescent="0.2">
      <c r="B86" s="83"/>
      <c r="C86" s="97"/>
      <c r="D86" s="84"/>
      <c r="E86" s="84"/>
      <c r="F86" s="446"/>
      <c r="G86" s="446"/>
      <c r="H86" s="446"/>
      <c r="I86" s="446"/>
      <c r="J86" s="446"/>
      <c r="K86" s="446"/>
      <c r="L86" s="446"/>
      <c r="M86" s="87"/>
    </row>
    <row r="87" spans="2:13" x14ac:dyDescent="0.2">
      <c r="B87" s="83"/>
      <c r="C87" s="97"/>
      <c r="D87" s="84"/>
      <c r="E87" s="84"/>
      <c r="F87" s="499" t="str">
        <f t="shared" ref="F87:I87" si="28">F8</f>
        <v>2016/17</v>
      </c>
      <c r="G87" s="499" t="str">
        <f t="shared" si="28"/>
        <v>2017/18</v>
      </c>
      <c r="H87" s="499" t="str">
        <f t="shared" si="28"/>
        <v>2018/19</v>
      </c>
      <c r="I87" s="499" t="str">
        <f t="shared" si="28"/>
        <v>2019/20</v>
      </c>
      <c r="J87" s="499" t="str">
        <f t="shared" ref="J87:K87" si="29">J8</f>
        <v>2020/21</v>
      </c>
      <c r="K87" s="499" t="str">
        <f t="shared" si="29"/>
        <v>2021/22</v>
      </c>
      <c r="L87" s="499" t="str">
        <f t="shared" ref="L87" si="30">L8</f>
        <v>2023/23</v>
      </c>
      <c r="M87" s="87"/>
    </row>
    <row r="88" spans="2:13" x14ac:dyDescent="0.2">
      <c r="B88" s="83"/>
      <c r="C88" s="97"/>
      <c r="D88" s="84"/>
      <c r="E88" s="84"/>
      <c r="F88" s="245"/>
      <c r="G88" s="245"/>
      <c r="H88" s="245"/>
      <c r="I88" s="245"/>
      <c r="J88" s="245"/>
      <c r="K88" s="245"/>
      <c r="L88" s="245"/>
      <c r="M88" s="87"/>
    </row>
    <row r="89" spans="2:13" x14ac:dyDescent="0.2">
      <c r="B89" s="83"/>
      <c r="D89" s="283"/>
      <c r="E89" s="72"/>
      <c r="F89" s="76"/>
      <c r="G89" s="76"/>
      <c r="H89" s="76"/>
      <c r="I89" s="76"/>
      <c r="J89" s="76"/>
      <c r="K89" s="76"/>
      <c r="L89" s="76"/>
      <c r="M89" s="87"/>
    </row>
    <row r="90" spans="2:13" x14ac:dyDescent="0.2">
      <c r="B90" s="83"/>
      <c r="C90" s="260"/>
      <c r="D90" s="498" t="s">
        <v>223</v>
      </c>
      <c r="E90" s="192"/>
      <c r="F90" s="261"/>
      <c r="G90" s="261"/>
      <c r="H90" s="261"/>
      <c r="I90" s="261"/>
      <c r="J90" s="261"/>
      <c r="K90" s="261"/>
      <c r="L90" s="261"/>
      <c r="M90" s="87"/>
    </row>
    <row r="91" spans="2:13" x14ac:dyDescent="0.2">
      <c r="B91" s="83"/>
      <c r="C91" s="130"/>
      <c r="D91" s="132"/>
      <c r="E91" s="132"/>
      <c r="F91" s="258"/>
      <c r="G91" s="258"/>
      <c r="H91" s="258"/>
      <c r="I91" s="258"/>
      <c r="J91" s="258"/>
      <c r="K91" s="258"/>
      <c r="L91" s="258"/>
      <c r="M91" s="87"/>
    </row>
    <row r="92" spans="2:13" x14ac:dyDescent="0.2">
      <c r="B92" s="83"/>
      <c r="C92" s="130"/>
      <c r="D92" s="148" t="s">
        <v>198</v>
      </c>
      <c r="E92" s="164"/>
      <c r="F92" s="161"/>
      <c r="G92" s="161"/>
      <c r="H92" s="161"/>
      <c r="I92" s="161"/>
      <c r="J92" s="161"/>
      <c r="K92" s="161"/>
      <c r="L92" s="161"/>
      <c r="M92" s="87"/>
    </row>
    <row r="93" spans="2:13" x14ac:dyDescent="0.2">
      <c r="B93" s="83"/>
      <c r="C93" s="130"/>
      <c r="D93" s="262"/>
      <c r="E93" s="402"/>
      <c r="F93" s="302">
        <v>0</v>
      </c>
      <c r="G93" s="302">
        <f t="shared" ref="G93:L97" si="31">F93</f>
        <v>0</v>
      </c>
      <c r="H93" s="302">
        <f t="shared" si="31"/>
        <v>0</v>
      </c>
      <c r="I93" s="302">
        <f t="shared" si="31"/>
        <v>0</v>
      </c>
      <c r="J93" s="302">
        <f t="shared" si="31"/>
        <v>0</v>
      </c>
      <c r="K93" s="302">
        <f t="shared" si="31"/>
        <v>0</v>
      </c>
      <c r="L93" s="302">
        <f t="shared" si="31"/>
        <v>0</v>
      </c>
      <c r="M93" s="87"/>
    </row>
    <row r="94" spans="2:13" x14ac:dyDescent="0.2">
      <c r="B94" s="83"/>
      <c r="C94" s="130"/>
      <c r="D94" s="262"/>
      <c r="E94" s="402"/>
      <c r="F94" s="302">
        <v>0</v>
      </c>
      <c r="G94" s="302">
        <f t="shared" si="31"/>
        <v>0</v>
      </c>
      <c r="H94" s="302">
        <f t="shared" si="31"/>
        <v>0</v>
      </c>
      <c r="I94" s="302">
        <f t="shared" si="31"/>
        <v>0</v>
      </c>
      <c r="J94" s="302">
        <f t="shared" si="31"/>
        <v>0</v>
      </c>
      <c r="K94" s="302">
        <f t="shared" si="31"/>
        <v>0</v>
      </c>
      <c r="L94" s="302">
        <f t="shared" si="31"/>
        <v>0</v>
      </c>
      <c r="M94" s="87"/>
    </row>
    <row r="95" spans="2:13" x14ac:dyDescent="0.2">
      <c r="B95" s="83"/>
      <c r="C95" s="404"/>
      <c r="D95" s="262"/>
      <c r="E95" s="402"/>
      <c r="F95" s="302">
        <v>0</v>
      </c>
      <c r="G95" s="302">
        <f t="shared" si="31"/>
        <v>0</v>
      </c>
      <c r="H95" s="302">
        <f t="shared" si="31"/>
        <v>0</v>
      </c>
      <c r="I95" s="302">
        <f t="shared" si="31"/>
        <v>0</v>
      </c>
      <c r="J95" s="302">
        <f t="shared" si="31"/>
        <v>0</v>
      </c>
      <c r="K95" s="302">
        <f t="shared" si="31"/>
        <v>0</v>
      </c>
      <c r="L95" s="302">
        <f t="shared" si="31"/>
        <v>0</v>
      </c>
      <c r="M95" s="87"/>
    </row>
    <row r="96" spans="2:13" x14ac:dyDescent="0.2">
      <c r="B96" s="83"/>
      <c r="C96" s="404"/>
      <c r="D96" s="262"/>
      <c r="E96" s="402"/>
      <c r="F96" s="302">
        <v>0</v>
      </c>
      <c r="G96" s="302">
        <f t="shared" ref="G96:L96" si="32">F96</f>
        <v>0</v>
      </c>
      <c r="H96" s="302">
        <f t="shared" si="32"/>
        <v>0</v>
      </c>
      <c r="I96" s="302">
        <f t="shared" si="32"/>
        <v>0</v>
      </c>
      <c r="J96" s="302">
        <f t="shared" si="32"/>
        <v>0</v>
      </c>
      <c r="K96" s="302">
        <f t="shared" si="32"/>
        <v>0</v>
      </c>
      <c r="L96" s="302">
        <f t="shared" si="32"/>
        <v>0</v>
      </c>
      <c r="M96" s="87"/>
    </row>
    <row r="97" spans="2:13" x14ac:dyDescent="0.2">
      <c r="B97" s="83"/>
      <c r="C97" s="130"/>
      <c r="D97" s="262"/>
      <c r="E97" s="164"/>
      <c r="F97" s="302">
        <v>0</v>
      </c>
      <c r="G97" s="302">
        <f t="shared" si="31"/>
        <v>0</v>
      </c>
      <c r="H97" s="302">
        <f t="shared" si="31"/>
        <v>0</v>
      </c>
      <c r="I97" s="302">
        <f t="shared" si="31"/>
        <v>0</v>
      </c>
      <c r="J97" s="302">
        <f t="shared" si="31"/>
        <v>0</v>
      </c>
      <c r="K97" s="302">
        <f t="shared" si="31"/>
        <v>0</v>
      </c>
      <c r="L97" s="302">
        <f t="shared" si="31"/>
        <v>0</v>
      </c>
      <c r="M97" s="87"/>
    </row>
    <row r="98" spans="2:13" x14ac:dyDescent="0.2">
      <c r="B98" s="83"/>
      <c r="C98" s="130"/>
      <c r="D98" s="137"/>
      <c r="E98" s="164"/>
      <c r="F98" s="422">
        <f t="shared" ref="F98:G98" si="33">SUM(F92:F97)</f>
        <v>0</v>
      </c>
      <c r="G98" s="422">
        <f t="shared" si="33"/>
        <v>0</v>
      </c>
      <c r="H98" s="422">
        <f t="shared" ref="H98:I98" si="34">SUM(H92:H97)</f>
        <v>0</v>
      </c>
      <c r="I98" s="422">
        <f t="shared" si="34"/>
        <v>0</v>
      </c>
      <c r="J98" s="422">
        <f t="shared" ref="J98:K98" si="35">SUM(J92:J97)</f>
        <v>0</v>
      </c>
      <c r="K98" s="422">
        <f t="shared" si="35"/>
        <v>0</v>
      </c>
      <c r="L98" s="422">
        <f t="shared" ref="L98" si="36">SUM(L92:L97)</f>
        <v>0</v>
      </c>
      <c r="M98" s="87"/>
    </row>
    <row r="99" spans="2:13" x14ac:dyDescent="0.2">
      <c r="B99" s="83"/>
      <c r="C99" s="174"/>
      <c r="D99" s="148" t="s">
        <v>174</v>
      </c>
      <c r="E99" s="402"/>
      <c r="F99" s="265"/>
      <c r="G99" s="265"/>
      <c r="H99" s="265"/>
      <c r="I99" s="265"/>
      <c r="J99" s="265"/>
      <c r="K99" s="265"/>
      <c r="L99" s="265"/>
      <c r="M99" s="87"/>
    </row>
    <row r="100" spans="2:13" x14ac:dyDescent="0.2">
      <c r="B100" s="83"/>
      <c r="C100" s="404"/>
      <c r="D100" s="256"/>
      <c r="E100" s="402"/>
      <c r="F100" s="302">
        <v>0</v>
      </c>
      <c r="G100" s="302">
        <f t="shared" ref="G100:L114" si="37">F100</f>
        <v>0</v>
      </c>
      <c r="H100" s="302">
        <f t="shared" si="37"/>
        <v>0</v>
      </c>
      <c r="I100" s="302">
        <f t="shared" si="37"/>
        <v>0</v>
      </c>
      <c r="J100" s="302">
        <f t="shared" si="37"/>
        <v>0</v>
      </c>
      <c r="K100" s="302">
        <f t="shared" si="37"/>
        <v>0</v>
      </c>
      <c r="L100" s="302">
        <f t="shared" si="37"/>
        <v>0</v>
      </c>
      <c r="M100" s="87"/>
    </row>
    <row r="101" spans="2:13" x14ac:dyDescent="0.2">
      <c r="B101" s="83"/>
      <c r="C101" s="404"/>
      <c r="D101" s="256"/>
      <c r="E101" s="402"/>
      <c r="F101" s="302">
        <v>0</v>
      </c>
      <c r="G101" s="302">
        <f t="shared" si="37"/>
        <v>0</v>
      </c>
      <c r="H101" s="302">
        <f t="shared" si="37"/>
        <v>0</v>
      </c>
      <c r="I101" s="302">
        <f t="shared" si="37"/>
        <v>0</v>
      </c>
      <c r="J101" s="302">
        <f t="shared" si="37"/>
        <v>0</v>
      </c>
      <c r="K101" s="302">
        <f t="shared" si="37"/>
        <v>0</v>
      </c>
      <c r="L101" s="302">
        <f t="shared" si="37"/>
        <v>0</v>
      </c>
      <c r="M101" s="87"/>
    </row>
    <row r="102" spans="2:13" x14ac:dyDescent="0.2">
      <c r="B102" s="83"/>
      <c r="C102" s="404"/>
      <c r="D102" s="256"/>
      <c r="E102" s="402"/>
      <c r="F102" s="302">
        <v>0</v>
      </c>
      <c r="G102" s="302">
        <f t="shared" si="37"/>
        <v>0</v>
      </c>
      <c r="H102" s="302">
        <f t="shared" si="37"/>
        <v>0</v>
      </c>
      <c r="I102" s="302">
        <f t="shared" si="37"/>
        <v>0</v>
      </c>
      <c r="J102" s="302">
        <f t="shared" si="37"/>
        <v>0</v>
      </c>
      <c r="K102" s="302">
        <f t="shared" si="37"/>
        <v>0</v>
      </c>
      <c r="L102" s="302">
        <f t="shared" si="37"/>
        <v>0</v>
      </c>
      <c r="M102" s="87"/>
    </row>
    <row r="103" spans="2:13" x14ac:dyDescent="0.2">
      <c r="B103" s="83"/>
      <c r="C103" s="404"/>
      <c r="D103" s="256"/>
      <c r="E103" s="402"/>
      <c r="F103" s="302">
        <v>0</v>
      </c>
      <c r="G103" s="302">
        <f t="shared" si="37"/>
        <v>0</v>
      </c>
      <c r="H103" s="302">
        <f t="shared" si="37"/>
        <v>0</v>
      </c>
      <c r="I103" s="302">
        <f t="shared" si="37"/>
        <v>0</v>
      </c>
      <c r="J103" s="302">
        <f t="shared" si="37"/>
        <v>0</v>
      </c>
      <c r="K103" s="302">
        <f t="shared" si="37"/>
        <v>0</v>
      </c>
      <c r="L103" s="302">
        <f t="shared" si="37"/>
        <v>0</v>
      </c>
      <c r="M103" s="87"/>
    </row>
    <row r="104" spans="2:13" x14ac:dyDescent="0.2">
      <c r="B104" s="83"/>
      <c r="C104" s="404"/>
      <c r="D104" s="256"/>
      <c r="E104" s="402"/>
      <c r="F104" s="302">
        <v>0</v>
      </c>
      <c r="G104" s="302">
        <f t="shared" si="37"/>
        <v>0</v>
      </c>
      <c r="H104" s="302">
        <f t="shared" si="37"/>
        <v>0</v>
      </c>
      <c r="I104" s="302">
        <f t="shared" si="37"/>
        <v>0</v>
      </c>
      <c r="J104" s="302">
        <f t="shared" si="37"/>
        <v>0</v>
      </c>
      <c r="K104" s="302">
        <f t="shared" si="37"/>
        <v>0</v>
      </c>
      <c r="L104" s="302">
        <f t="shared" si="37"/>
        <v>0</v>
      </c>
      <c r="M104" s="87"/>
    </row>
    <row r="105" spans="2:13" x14ac:dyDescent="0.2">
      <c r="B105" s="83"/>
      <c r="C105" s="404"/>
      <c r="D105" s="256"/>
      <c r="E105" s="402"/>
      <c r="F105" s="302">
        <v>0</v>
      </c>
      <c r="G105" s="302">
        <f t="shared" si="37"/>
        <v>0</v>
      </c>
      <c r="H105" s="302">
        <f t="shared" si="37"/>
        <v>0</v>
      </c>
      <c r="I105" s="302">
        <f t="shared" si="37"/>
        <v>0</v>
      </c>
      <c r="J105" s="302">
        <f t="shared" si="37"/>
        <v>0</v>
      </c>
      <c r="K105" s="302">
        <f t="shared" si="37"/>
        <v>0</v>
      </c>
      <c r="L105" s="302">
        <f t="shared" si="37"/>
        <v>0</v>
      </c>
      <c r="M105" s="87"/>
    </row>
    <row r="106" spans="2:13" x14ac:dyDescent="0.2">
      <c r="B106" s="83"/>
      <c r="C106" s="404"/>
      <c r="D106" s="256"/>
      <c r="E106" s="402"/>
      <c r="F106" s="302">
        <v>0</v>
      </c>
      <c r="G106" s="302">
        <f t="shared" si="37"/>
        <v>0</v>
      </c>
      <c r="H106" s="302">
        <f t="shared" si="37"/>
        <v>0</v>
      </c>
      <c r="I106" s="302">
        <f t="shared" si="37"/>
        <v>0</v>
      </c>
      <c r="J106" s="302">
        <f t="shared" si="37"/>
        <v>0</v>
      </c>
      <c r="K106" s="302">
        <f t="shared" si="37"/>
        <v>0</v>
      </c>
      <c r="L106" s="302">
        <f t="shared" si="37"/>
        <v>0</v>
      </c>
      <c r="M106" s="87"/>
    </row>
    <row r="107" spans="2:13" x14ac:dyDescent="0.2">
      <c r="B107" s="83"/>
      <c r="C107" s="404"/>
      <c r="D107" s="256"/>
      <c r="E107" s="402"/>
      <c r="F107" s="302">
        <v>0</v>
      </c>
      <c r="G107" s="302">
        <f t="shared" si="37"/>
        <v>0</v>
      </c>
      <c r="H107" s="302">
        <f t="shared" si="37"/>
        <v>0</v>
      </c>
      <c r="I107" s="302">
        <f t="shared" si="37"/>
        <v>0</v>
      </c>
      <c r="J107" s="302">
        <f t="shared" si="37"/>
        <v>0</v>
      </c>
      <c r="K107" s="302">
        <f t="shared" si="37"/>
        <v>0</v>
      </c>
      <c r="L107" s="302">
        <f t="shared" si="37"/>
        <v>0</v>
      </c>
      <c r="M107" s="87"/>
    </row>
    <row r="108" spans="2:13" x14ac:dyDescent="0.2">
      <c r="B108" s="83"/>
      <c r="C108" s="404"/>
      <c r="D108" s="256"/>
      <c r="E108" s="402"/>
      <c r="F108" s="302">
        <v>0</v>
      </c>
      <c r="G108" s="302">
        <f t="shared" si="37"/>
        <v>0</v>
      </c>
      <c r="H108" s="302">
        <f t="shared" si="37"/>
        <v>0</v>
      </c>
      <c r="I108" s="302">
        <f t="shared" si="37"/>
        <v>0</v>
      </c>
      <c r="J108" s="302">
        <f t="shared" si="37"/>
        <v>0</v>
      </c>
      <c r="K108" s="302">
        <f t="shared" si="37"/>
        <v>0</v>
      </c>
      <c r="L108" s="302">
        <f t="shared" si="37"/>
        <v>0</v>
      </c>
      <c r="M108" s="87"/>
    </row>
    <row r="109" spans="2:13" x14ac:dyDescent="0.2">
      <c r="B109" s="83"/>
      <c r="C109" s="404"/>
      <c r="D109" s="256"/>
      <c r="E109" s="402"/>
      <c r="F109" s="302">
        <v>0</v>
      </c>
      <c r="G109" s="302">
        <f t="shared" si="37"/>
        <v>0</v>
      </c>
      <c r="H109" s="302">
        <f t="shared" si="37"/>
        <v>0</v>
      </c>
      <c r="I109" s="302">
        <f t="shared" si="37"/>
        <v>0</v>
      </c>
      <c r="J109" s="302">
        <f t="shared" si="37"/>
        <v>0</v>
      </c>
      <c r="K109" s="302">
        <f t="shared" si="37"/>
        <v>0</v>
      </c>
      <c r="L109" s="302">
        <f t="shared" si="37"/>
        <v>0</v>
      </c>
      <c r="M109" s="87"/>
    </row>
    <row r="110" spans="2:13" x14ac:dyDescent="0.2">
      <c r="B110" s="83"/>
      <c r="C110" s="404"/>
      <c r="D110" s="256"/>
      <c r="E110" s="402"/>
      <c r="F110" s="302">
        <v>0</v>
      </c>
      <c r="G110" s="302">
        <f t="shared" si="37"/>
        <v>0</v>
      </c>
      <c r="H110" s="302">
        <f t="shared" si="37"/>
        <v>0</v>
      </c>
      <c r="I110" s="302">
        <f t="shared" si="37"/>
        <v>0</v>
      </c>
      <c r="J110" s="302">
        <f t="shared" si="37"/>
        <v>0</v>
      </c>
      <c r="K110" s="302">
        <f t="shared" si="37"/>
        <v>0</v>
      </c>
      <c r="L110" s="302">
        <f t="shared" si="37"/>
        <v>0</v>
      </c>
      <c r="M110" s="87"/>
    </row>
    <row r="111" spans="2:13" x14ac:dyDescent="0.2">
      <c r="B111" s="83"/>
      <c r="C111" s="404"/>
      <c r="D111" s="256"/>
      <c r="E111" s="402"/>
      <c r="F111" s="302">
        <v>0</v>
      </c>
      <c r="G111" s="302">
        <f t="shared" si="37"/>
        <v>0</v>
      </c>
      <c r="H111" s="302">
        <f t="shared" si="37"/>
        <v>0</v>
      </c>
      <c r="I111" s="302">
        <f t="shared" si="37"/>
        <v>0</v>
      </c>
      <c r="J111" s="302">
        <f t="shared" si="37"/>
        <v>0</v>
      </c>
      <c r="K111" s="302">
        <f t="shared" si="37"/>
        <v>0</v>
      </c>
      <c r="L111" s="302">
        <f t="shared" si="37"/>
        <v>0</v>
      </c>
      <c r="M111" s="87"/>
    </row>
    <row r="112" spans="2:13" x14ac:dyDescent="0.2">
      <c r="B112" s="83"/>
      <c r="C112" s="404"/>
      <c r="D112" s="262"/>
      <c r="E112" s="402"/>
      <c r="F112" s="302">
        <v>0</v>
      </c>
      <c r="G112" s="302">
        <f t="shared" si="37"/>
        <v>0</v>
      </c>
      <c r="H112" s="302">
        <f t="shared" si="37"/>
        <v>0</v>
      </c>
      <c r="I112" s="302">
        <f t="shared" si="37"/>
        <v>0</v>
      </c>
      <c r="J112" s="302">
        <f t="shared" si="37"/>
        <v>0</v>
      </c>
      <c r="K112" s="302">
        <f t="shared" si="37"/>
        <v>0</v>
      </c>
      <c r="L112" s="302">
        <f t="shared" si="37"/>
        <v>0</v>
      </c>
      <c r="M112" s="87"/>
    </row>
    <row r="113" spans="2:15" x14ac:dyDescent="0.2">
      <c r="B113" s="83"/>
      <c r="C113" s="404"/>
      <c r="D113" s="262"/>
      <c r="E113" s="402"/>
      <c r="F113" s="302">
        <v>0</v>
      </c>
      <c r="G113" s="302">
        <f t="shared" si="37"/>
        <v>0</v>
      </c>
      <c r="H113" s="302">
        <f t="shared" si="37"/>
        <v>0</v>
      </c>
      <c r="I113" s="302">
        <f t="shared" si="37"/>
        <v>0</v>
      </c>
      <c r="J113" s="302">
        <f t="shared" si="37"/>
        <v>0</v>
      </c>
      <c r="K113" s="302">
        <f t="shared" si="37"/>
        <v>0</v>
      </c>
      <c r="L113" s="302">
        <f t="shared" si="37"/>
        <v>0</v>
      </c>
      <c r="M113" s="87"/>
    </row>
    <row r="114" spans="2:15" x14ac:dyDescent="0.2">
      <c r="B114" s="83"/>
      <c r="C114" s="404"/>
      <c r="D114" s="262"/>
      <c r="E114" s="402"/>
      <c r="F114" s="302">
        <v>0</v>
      </c>
      <c r="G114" s="302">
        <f t="shared" si="37"/>
        <v>0</v>
      </c>
      <c r="H114" s="302">
        <f t="shared" si="37"/>
        <v>0</v>
      </c>
      <c r="I114" s="302">
        <f t="shared" si="37"/>
        <v>0</v>
      </c>
      <c r="J114" s="302">
        <f t="shared" si="37"/>
        <v>0</v>
      </c>
      <c r="K114" s="302">
        <f t="shared" si="37"/>
        <v>0</v>
      </c>
      <c r="L114" s="302">
        <f t="shared" si="37"/>
        <v>0</v>
      </c>
      <c r="M114" s="87"/>
    </row>
    <row r="115" spans="2:15" x14ac:dyDescent="0.2">
      <c r="B115" s="83"/>
      <c r="C115" s="404"/>
      <c r="D115" s="197"/>
      <c r="E115" s="402"/>
      <c r="F115" s="427">
        <f t="shared" ref="F115:H115" si="38">SUM(F100:F114)</f>
        <v>0</v>
      </c>
      <c r="G115" s="427">
        <f t="shared" si="38"/>
        <v>0</v>
      </c>
      <c r="H115" s="427">
        <f t="shared" si="38"/>
        <v>0</v>
      </c>
      <c r="I115" s="427">
        <f t="shared" ref="I115:J115" si="39">SUM(I100:I114)</f>
        <v>0</v>
      </c>
      <c r="J115" s="427">
        <f t="shared" si="39"/>
        <v>0</v>
      </c>
      <c r="K115" s="427">
        <f t="shared" ref="K115:L115" si="40">SUM(K100:K114)</f>
        <v>0</v>
      </c>
      <c r="L115" s="427">
        <f t="shared" si="40"/>
        <v>0</v>
      </c>
      <c r="M115" s="87"/>
    </row>
    <row r="116" spans="2:15" x14ac:dyDescent="0.2">
      <c r="B116" s="83"/>
      <c r="C116" s="410"/>
      <c r="D116" s="263"/>
      <c r="E116" s="417"/>
      <c r="F116" s="445" t="e">
        <f>7/12*#REF!+5/12*F115</f>
        <v>#REF!</v>
      </c>
      <c r="G116" s="445">
        <f t="shared" ref="G116:L116" si="41">7/12*F115+5/12*G115</f>
        <v>0</v>
      </c>
      <c r="H116" s="445">
        <f t="shared" si="41"/>
        <v>0</v>
      </c>
      <c r="I116" s="445">
        <f t="shared" si="41"/>
        <v>0</v>
      </c>
      <c r="J116" s="445">
        <f t="shared" si="41"/>
        <v>0</v>
      </c>
      <c r="K116" s="445">
        <f t="shared" si="41"/>
        <v>0</v>
      </c>
      <c r="L116" s="445">
        <f t="shared" si="41"/>
        <v>0</v>
      </c>
      <c r="M116" s="87"/>
      <c r="O116" s="239"/>
    </row>
    <row r="117" spans="2:15" x14ac:dyDescent="0.2">
      <c r="B117" s="83"/>
      <c r="C117" s="441"/>
      <c r="D117" s="141" t="s">
        <v>175</v>
      </c>
      <c r="E117" s="441"/>
      <c r="F117" s="427">
        <f t="shared" ref="F117:I117" si="42">F98+F115</f>
        <v>0</v>
      </c>
      <c r="G117" s="427">
        <f t="shared" si="42"/>
        <v>0</v>
      </c>
      <c r="H117" s="427">
        <f t="shared" si="42"/>
        <v>0</v>
      </c>
      <c r="I117" s="427">
        <f t="shared" si="42"/>
        <v>0</v>
      </c>
      <c r="J117" s="427">
        <f t="shared" ref="J117:K117" si="43">J98+J115</f>
        <v>0</v>
      </c>
      <c r="K117" s="427">
        <f t="shared" si="43"/>
        <v>0</v>
      </c>
      <c r="L117" s="427">
        <f t="shared" ref="L117" si="44">L98+L115</f>
        <v>0</v>
      </c>
      <c r="M117" s="87"/>
      <c r="O117" s="239"/>
    </row>
    <row r="118" spans="2:15" x14ac:dyDescent="0.2">
      <c r="B118" s="83"/>
      <c r="C118" s="441"/>
      <c r="D118" s="448" t="s">
        <v>71</v>
      </c>
      <c r="E118" s="204"/>
      <c r="F118" s="457"/>
      <c r="G118" s="457">
        <f t="shared" ref="G118" si="45">7/12*(F117-F91)+5/12*(G117-G91)+G91</f>
        <v>0</v>
      </c>
      <c r="H118" s="457">
        <f>7/12*(G117-G91)+5/12*(H117-H91)+H91</f>
        <v>0</v>
      </c>
      <c r="I118" s="457">
        <f>7/12*(H117-H91)+5/12*(I117-I91)+I91</f>
        <v>0</v>
      </c>
      <c r="J118" s="457">
        <f>7/12*(I117-I91)+5/12*(J117-J91)+J91</f>
        <v>0</v>
      </c>
      <c r="K118" s="457">
        <f>7/12*(J117-J91)+5/12*(K117-K91)+K91</f>
        <v>0</v>
      </c>
      <c r="L118" s="457">
        <f>7/12*(K117-K91)+5/12*(L117-L91)+L91</f>
        <v>0</v>
      </c>
      <c r="M118" s="87"/>
      <c r="O118" s="239"/>
    </row>
    <row r="119" spans="2:15" x14ac:dyDescent="0.2">
      <c r="B119" s="83"/>
      <c r="C119" s="84"/>
      <c r="D119" s="84"/>
      <c r="E119" s="84"/>
      <c r="F119" s="246"/>
      <c r="G119" s="246"/>
      <c r="H119" s="246"/>
      <c r="I119" s="246"/>
      <c r="J119" s="246"/>
      <c r="K119" s="246"/>
      <c r="L119" s="246"/>
      <c r="M119" s="87"/>
      <c r="O119" s="239"/>
    </row>
    <row r="120" spans="2:15" x14ac:dyDescent="0.2">
      <c r="B120" s="83"/>
      <c r="C120" s="126"/>
      <c r="D120" s="127"/>
      <c r="E120" s="127"/>
      <c r="F120" s="264"/>
      <c r="G120" s="264"/>
      <c r="H120" s="264"/>
      <c r="I120" s="264"/>
      <c r="J120" s="264"/>
      <c r="K120" s="264"/>
      <c r="L120" s="264"/>
      <c r="M120" s="87"/>
    </row>
    <row r="121" spans="2:15" x14ac:dyDescent="0.2">
      <c r="B121" s="83"/>
      <c r="C121" s="130"/>
      <c r="D121" s="484" t="s">
        <v>212</v>
      </c>
      <c r="E121" s="132"/>
      <c r="F121" s="259"/>
      <c r="G121" s="259"/>
      <c r="H121" s="259"/>
      <c r="I121" s="259"/>
      <c r="J121" s="259"/>
      <c r="K121" s="259"/>
      <c r="L121" s="259"/>
      <c r="M121" s="87"/>
    </row>
    <row r="122" spans="2:15" x14ac:dyDescent="0.2">
      <c r="B122" s="83"/>
      <c r="C122" s="130"/>
      <c r="D122" s="132"/>
      <c r="E122" s="132"/>
      <c r="F122" s="259"/>
      <c r="G122" s="259"/>
      <c r="H122" s="259"/>
      <c r="I122" s="259"/>
      <c r="J122" s="259"/>
      <c r="K122" s="259"/>
      <c r="L122" s="259"/>
      <c r="M122" s="87"/>
    </row>
    <row r="123" spans="2:15" x14ac:dyDescent="0.2">
      <c r="B123" s="83"/>
      <c r="C123" s="130"/>
      <c r="D123" s="256"/>
      <c r="E123" s="132"/>
      <c r="F123" s="302">
        <v>0</v>
      </c>
      <c r="G123" s="302">
        <f t="shared" ref="G123:G127" si="46">F123</f>
        <v>0</v>
      </c>
      <c r="H123" s="302">
        <f t="shared" ref="H123:H127" si="47">G123</f>
        <v>0</v>
      </c>
      <c r="I123" s="302">
        <f t="shared" ref="I123:L127" si="48">H123</f>
        <v>0</v>
      </c>
      <c r="J123" s="302">
        <f t="shared" si="48"/>
        <v>0</v>
      </c>
      <c r="K123" s="302">
        <f t="shared" si="48"/>
        <v>0</v>
      </c>
      <c r="L123" s="302">
        <f t="shared" si="48"/>
        <v>0</v>
      </c>
      <c r="M123" s="87"/>
    </row>
    <row r="124" spans="2:15" x14ac:dyDescent="0.2">
      <c r="B124" s="83"/>
      <c r="C124" s="130"/>
      <c r="D124" s="256"/>
      <c r="E124" s="132"/>
      <c r="F124" s="302">
        <v>0</v>
      </c>
      <c r="G124" s="302">
        <f t="shared" si="46"/>
        <v>0</v>
      </c>
      <c r="H124" s="302">
        <f t="shared" si="47"/>
        <v>0</v>
      </c>
      <c r="I124" s="302">
        <f t="shared" si="48"/>
        <v>0</v>
      </c>
      <c r="J124" s="302">
        <f t="shared" si="48"/>
        <v>0</v>
      </c>
      <c r="K124" s="302">
        <f t="shared" si="48"/>
        <v>0</v>
      </c>
      <c r="L124" s="302">
        <f t="shared" si="48"/>
        <v>0</v>
      </c>
      <c r="M124" s="87"/>
    </row>
    <row r="125" spans="2:15" x14ac:dyDescent="0.2">
      <c r="B125" s="83"/>
      <c r="C125" s="130"/>
      <c r="D125" s="256"/>
      <c r="E125" s="132"/>
      <c r="F125" s="302">
        <v>0</v>
      </c>
      <c r="G125" s="302">
        <f t="shared" si="46"/>
        <v>0</v>
      </c>
      <c r="H125" s="302">
        <f t="shared" si="47"/>
        <v>0</v>
      </c>
      <c r="I125" s="302">
        <f t="shared" si="48"/>
        <v>0</v>
      </c>
      <c r="J125" s="302">
        <f t="shared" si="48"/>
        <v>0</v>
      </c>
      <c r="K125" s="302">
        <f t="shared" si="48"/>
        <v>0</v>
      </c>
      <c r="L125" s="302">
        <f t="shared" si="48"/>
        <v>0</v>
      </c>
      <c r="M125" s="87"/>
    </row>
    <row r="126" spans="2:15" x14ac:dyDescent="0.2">
      <c r="B126" s="83"/>
      <c r="C126" s="130"/>
      <c r="D126" s="256"/>
      <c r="E126" s="132"/>
      <c r="F126" s="302">
        <v>0</v>
      </c>
      <c r="G126" s="302">
        <f t="shared" si="46"/>
        <v>0</v>
      </c>
      <c r="H126" s="302">
        <f t="shared" si="47"/>
        <v>0</v>
      </c>
      <c r="I126" s="302">
        <f t="shared" si="48"/>
        <v>0</v>
      </c>
      <c r="J126" s="302">
        <f t="shared" si="48"/>
        <v>0</v>
      </c>
      <c r="K126" s="302">
        <f t="shared" si="48"/>
        <v>0</v>
      </c>
      <c r="L126" s="302">
        <f t="shared" si="48"/>
        <v>0</v>
      </c>
      <c r="M126" s="87"/>
    </row>
    <row r="127" spans="2:15" x14ac:dyDescent="0.2">
      <c r="B127" s="83"/>
      <c r="C127" s="130"/>
      <c r="D127" s="256"/>
      <c r="E127" s="132"/>
      <c r="F127" s="302">
        <v>0</v>
      </c>
      <c r="G127" s="302">
        <f t="shared" si="46"/>
        <v>0</v>
      </c>
      <c r="H127" s="302">
        <f t="shared" si="47"/>
        <v>0</v>
      </c>
      <c r="I127" s="302">
        <f t="shared" si="48"/>
        <v>0</v>
      </c>
      <c r="J127" s="302">
        <f t="shared" si="48"/>
        <v>0</v>
      </c>
      <c r="K127" s="302">
        <f t="shared" si="48"/>
        <v>0</v>
      </c>
      <c r="L127" s="302">
        <f t="shared" si="48"/>
        <v>0</v>
      </c>
      <c r="M127" s="87"/>
    </row>
    <row r="128" spans="2:15" x14ac:dyDescent="0.2">
      <c r="B128" s="83"/>
      <c r="C128" s="130"/>
      <c r="D128" s="132"/>
      <c r="E128" s="132"/>
      <c r="F128" s="259"/>
      <c r="G128" s="259"/>
      <c r="H128" s="259"/>
      <c r="I128" s="259"/>
      <c r="J128" s="259"/>
      <c r="K128" s="259"/>
      <c r="L128" s="259"/>
      <c r="M128" s="87"/>
    </row>
    <row r="129" spans="2:13" s="72" customFormat="1" x14ac:dyDescent="0.2">
      <c r="B129" s="94"/>
      <c r="C129" s="146"/>
      <c r="D129" s="148" t="s">
        <v>168</v>
      </c>
      <c r="E129" s="148"/>
      <c r="F129" s="442">
        <f t="shared" ref="F129:I129" si="49">SUM(F123:F127)</f>
        <v>0</v>
      </c>
      <c r="G129" s="442">
        <f t="shared" si="49"/>
        <v>0</v>
      </c>
      <c r="H129" s="442">
        <f t="shared" si="49"/>
        <v>0</v>
      </c>
      <c r="I129" s="442">
        <f t="shared" si="49"/>
        <v>0</v>
      </c>
      <c r="J129" s="442">
        <f t="shared" ref="J129:K129" si="50">SUM(J123:J127)</f>
        <v>0</v>
      </c>
      <c r="K129" s="442">
        <f t="shared" si="50"/>
        <v>0</v>
      </c>
      <c r="L129" s="442">
        <f t="shared" ref="L129" si="51">SUM(L123:L127)</f>
        <v>0</v>
      </c>
      <c r="M129" s="95"/>
    </row>
    <row r="130" spans="2:13" x14ac:dyDescent="0.2">
      <c r="B130" s="83"/>
      <c r="C130" s="155"/>
      <c r="D130" s="184"/>
      <c r="E130" s="184"/>
      <c r="F130" s="191"/>
      <c r="G130" s="191"/>
      <c r="H130" s="191"/>
      <c r="I130" s="191"/>
      <c r="J130" s="191"/>
      <c r="K130" s="191"/>
      <c r="L130" s="191"/>
      <c r="M130" s="87"/>
    </row>
    <row r="131" spans="2:13" x14ac:dyDescent="0.2">
      <c r="B131" s="83"/>
      <c r="C131" s="84"/>
      <c r="D131" s="84"/>
      <c r="E131" s="84"/>
      <c r="F131" s="112"/>
      <c r="G131" s="112"/>
      <c r="H131" s="112"/>
      <c r="I131" s="112"/>
      <c r="J131" s="112"/>
      <c r="K131" s="112"/>
      <c r="L131" s="112"/>
      <c r="M131" s="87"/>
    </row>
    <row r="132" spans="2:13" x14ac:dyDescent="0.2">
      <c r="B132" s="83"/>
      <c r="C132" s="126"/>
      <c r="D132" s="127"/>
      <c r="E132" s="127"/>
      <c r="F132" s="194"/>
      <c r="G132" s="194"/>
      <c r="H132" s="194"/>
      <c r="I132" s="194"/>
      <c r="J132" s="194"/>
      <c r="K132" s="194"/>
      <c r="L132" s="194"/>
      <c r="M132" s="87"/>
    </row>
    <row r="133" spans="2:13" x14ac:dyDescent="0.2">
      <c r="B133" s="83"/>
      <c r="C133" s="130"/>
      <c r="D133" s="484" t="s">
        <v>213</v>
      </c>
      <c r="E133" s="132"/>
      <c r="F133" s="177"/>
      <c r="G133" s="177"/>
      <c r="H133" s="177"/>
      <c r="I133" s="177"/>
      <c r="J133" s="177"/>
      <c r="K133" s="177"/>
      <c r="L133" s="177"/>
      <c r="M133" s="87"/>
    </row>
    <row r="134" spans="2:13" x14ac:dyDescent="0.2">
      <c r="B134" s="83"/>
      <c r="C134" s="130"/>
      <c r="D134" s="132"/>
      <c r="E134" s="132"/>
      <c r="F134" s="177"/>
      <c r="G134" s="177"/>
      <c r="H134" s="177"/>
      <c r="I134" s="177"/>
      <c r="J134" s="177"/>
      <c r="K134" s="177"/>
      <c r="L134" s="177"/>
      <c r="M134" s="87"/>
    </row>
    <row r="135" spans="2:13" x14ac:dyDescent="0.2">
      <c r="B135" s="83"/>
      <c r="C135" s="130"/>
      <c r="D135" s="256"/>
      <c r="E135" s="132"/>
      <c r="F135" s="302">
        <v>0</v>
      </c>
      <c r="G135" s="302">
        <f t="shared" ref="G135:G144" si="52">F135</f>
        <v>0</v>
      </c>
      <c r="H135" s="302">
        <f t="shared" ref="H135:H144" si="53">G135</f>
        <v>0</v>
      </c>
      <c r="I135" s="302">
        <f t="shared" ref="I135:L144" si="54">H135</f>
        <v>0</v>
      </c>
      <c r="J135" s="302">
        <f t="shared" si="54"/>
        <v>0</v>
      </c>
      <c r="K135" s="302">
        <f t="shared" si="54"/>
        <v>0</v>
      </c>
      <c r="L135" s="302">
        <f t="shared" si="54"/>
        <v>0</v>
      </c>
      <c r="M135" s="87"/>
    </row>
    <row r="136" spans="2:13" x14ac:dyDescent="0.2">
      <c r="B136" s="83"/>
      <c r="C136" s="130"/>
      <c r="D136" s="256"/>
      <c r="E136" s="132"/>
      <c r="F136" s="302">
        <v>0</v>
      </c>
      <c r="G136" s="302">
        <f t="shared" si="52"/>
        <v>0</v>
      </c>
      <c r="H136" s="302">
        <f t="shared" si="53"/>
        <v>0</v>
      </c>
      <c r="I136" s="302">
        <f t="shared" si="54"/>
        <v>0</v>
      </c>
      <c r="J136" s="302">
        <f t="shared" si="54"/>
        <v>0</v>
      </c>
      <c r="K136" s="302">
        <f t="shared" si="54"/>
        <v>0</v>
      </c>
      <c r="L136" s="302">
        <f t="shared" si="54"/>
        <v>0</v>
      </c>
      <c r="M136" s="87"/>
    </row>
    <row r="137" spans="2:13" x14ac:dyDescent="0.2">
      <c r="B137" s="83"/>
      <c r="C137" s="130"/>
      <c r="D137" s="256"/>
      <c r="E137" s="132"/>
      <c r="F137" s="302">
        <v>0</v>
      </c>
      <c r="G137" s="302">
        <f t="shared" si="52"/>
        <v>0</v>
      </c>
      <c r="H137" s="302">
        <f t="shared" si="53"/>
        <v>0</v>
      </c>
      <c r="I137" s="302">
        <f t="shared" si="54"/>
        <v>0</v>
      </c>
      <c r="J137" s="302">
        <f t="shared" si="54"/>
        <v>0</v>
      </c>
      <c r="K137" s="302">
        <f t="shared" si="54"/>
        <v>0</v>
      </c>
      <c r="L137" s="302">
        <f t="shared" si="54"/>
        <v>0</v>
      </c>
      <c r="M137" s="87"/>
    </row>
    <row r="138" spans="2:13" x14ac:dyDescent="0.2">
      <c r="B138" s="83"/>
      <c r="C138" s="130"/>
      <c r="D138" s="256"/>
      <c r="E138" s="132"/>
      <c r="F138" s="302">
        <v>0</v>
      </c>
      <c r="G138" s="302">
        <f t="shared" si="52"/>
        <v>0</v>
      </c>
      <c r="H138" s="302">
        <f t="shared" si="53"/>
        <v>0</v>
      </c>
      <c r="I138" s="302">
        <f t="shared" si="54"/>
        <v>0</v>
      </c>
      <c r="J138" s="302">
        <f t="shared" si="54"/>
        <v>0</v>
      </c>
      <c r="K138" s="302">
        <f t="shared" si="54"/>
        <v>0</v>
      </c>
      <c r="L138" s="302">
        <f t="shared" si="54"/>
        <v>0</v>
      </c>
      <c r="M138" s="87"/>
    </row>
    <row r="139" spans="2:13" x14ac:dyDescent="0.2">
      <c r="B139" s="83"/>
      <c r="C139" s="130"/>
      <c r="D139" s="256"/>
      <c r="E139" s="132"/>
      <c r="F139" s="302">
        <v>0</v>
      </c>
      <c r="G139" s="302">
        <f t="shared" si="52"/>
        <v>0</v>
      </c>
      <c r="H139" s="302">
        <f t="shared" si="53"/>
        <v>0</v>
      </c>
      <c r="I139" s="302">
        <f t="shared" si="54"/>
        <v>0</v>
      </c>
      <c r="J139" s="302">
        <f t="shared" si="54"/>
        <v>0</v>
      </c>
      <c r="K139" s="302">
        <f t="shared" si="54"/>
        <v>0</v>
      </c>
      <c r="L139" s="302">
        <f t="shared" si="54"/>
        <v>0</v>
      </c>
      <c r="M139" s="87"/>
    </row>
    <row r="140" spans="2:13" x14ac:dyDescent="0.2">
      <c r="B140" s="83"/>
      <c r="C140" s="130"/>
      <c r="D140" s="256"/>
      <c r="E140" s="132"/>
      <c r="F140" s="302">
        <v>0</v>
      </c>
      <c r="G140" s="302">
        <f t="shared" si="52"/>
        <v>0</v>
      </c>
      <c r="H140" s="302">
        <f t="shared" si="53"/>
        <v>0</v>
      </c>
      <c r="I140" s="302">
        <f t="shared" si="54"/>
        <v>0</v>
      </c>
      <c r="J140" s="302">
        <f t="shared" si="54"/>
        <v>0</v>
      </c>
      <c r="K140" s="302">
        <f t="shared" si="54"/>
        <v>0</v>
      </c>
      <c r="L140" s="302">
        <f t="shared" si="54"/>
        <v>0</v>
      </c>
      <c r="M140" s="87"/>
    </row>
    <row r="141" spans="2:13" x14ac:dyDescent="0.2">
      <c r="B141" s="83"/>
      <c r="C141" s="130"/>
      <c r="D141" s="256"/>
      <c r="E141" s="132"/>
      <c r="F141" s="302">
        <v>0</v>
      </c>
      <c r="G141" s="302">
        <f t="shared" si="52"/>
        <v>0</v>
      </c>
      <c r="H141" s="302">
        <f t="shared" si="53"/>
        <v>0</v>
      </c>
      <c r="I141" s="302">
        <f t="shared" si="54"/>
        <v>0</v>
      </c>
      <c r="J141" s="302">
        <f t="shared" si="54"/>
        <v>0</v>
      </c>
      <c r="K141" s="302">
        <f t="shared" si="54"/>
        <v>0</v>
      </c>
      <c r="L141" s="302">
        <f t="shared" si="54"/>
        <v>0</v>
      </c>
      <c r="M141" s="87"/>
    </row>
    <row r="142" spans="2:13" x14ac:dyDescent="0.2">
      <c r="B142" s="83"/>
      <c r="C142" s="130"/>
      <c r="D142" s="256"/>
      <c r="E142" s="132"/>
      <c r="F142" s="302">
        <v>0</v>
      </c>
      <c r="G142" s="302">
        <f t="shared" si="52"/>
        <v>0</v>
      </c>
      <c r="H142" s="302">
        <f t="shared" si="53"/>
        <v>0</v>
      </c>
      <c r="I142" s="302">
        <f t="shared" si="54"/>
        <v>0</v>
      </c>
      <c r="J142" s="302">
        <f t="shared" si="54"/>
        <v>0</v>
      </c>
      <c r="K142" s="302">
        <f t="shared" si="54"/>
        <v>0</v>
      </c>
      <c r="L142" s="302">
        <f t="shared" si="54"/>
        <v>0</v>
      </c>
      <c r="M142" s="87"/>
    </row>
    <row r="143" spans="2:13" x14ac:dyDescent="0.2">
      <c r="B143" s="83"/>
      <c r="C143" s="130"/>
      <c r="D143" s="256"/>
      <c r="E143" s="132"/>
      <c r="F143" s="302">
        <v>0</v>
      </c>
      <c r="G143" s="302">
        <f t="shared" si="52"/>
        <v>0</v>
      </c>
      <c r="H143" s="302">
        <f t="shared" si="53"/>
        <v>0</v>
      </c>
      <c r="I143" s="302">
        <f t="shared" si="54"/>
        <v>0</v>
      </c>
      <c r="J143" s="302">
        <f t="shared" si="54"/>
        <v>0</v>
      </c>
      <c r="K143" s="302">
        <f t="shared" si="54"/>
        <v>0</v>
      </c>
      <c r="L143" s="302">
        <f t="shared" si="54"/>
        <v>0</v>
      </c>
      <c r="M143" s="87"/>
    </row>
    <row r="144" spans="2:13" x14ac:dyDescent="0.2">
      <c r="B144" s="83"/>
      <c r="C144" s="130"/>
      <c r="D144" s="256"/>
      <c r="E144" s="132"/>
      <c r="F144" s="302">
        <v>0</v>
      </c>
      <c r="G144" s="302">
        <f t="shared" si="52"/>
        <v>0</v>
      </c>
      <c r="H144" s="302">
        <f t="shared" si="53"/>
        <v>0</v>
      </c>
      <c r="I144" s="302">
        <f t="shared" si="54"/>
        <v>0</v>
      </c>
      <c r="J144" s="302">
        <f t="shared" si="54"/>
        <v>0</v>
      </c>
      <c r="K144" s="302">
        <f t="shared" si="54"/>
        <v>0</v>
      </c>
      <c r="L144" s="302">
        <f t="shared" si="54"/>
        <v>0</v>
      </c>
      <c r="M144" s="87"/>
    </row>
    <row r="145" spans="2:13" x14ac:dyDescent="0.2">
      <c r="B145" s="83"/>
      <c r="C145" s="130"/>
      <c r="D145" s="132"/>
      <c r="E145" s="132"/>
      <c r="F145" s="177"/>
      <c r="G145" s="177"/>
      <c r="H145" s="177"/>
      <c r="I145" s="177"/>
      <c r="J145" s="177"/>
      <c r="K145" s="177"/>
      <c r="L145" s="177"/>
      <c r="M145" s="87"/>
    </row>
    <row r="146" spans="2:13" s="72" customFormat="1" x14ac:dyDescent="0.2">
      <c r="B146" s="94"/>
      <c r="C146" s="146"/>
      <c r="D146" s="148" t="s">
        <v>168</v>
      </c>
      <c r="E146" s="148"/>
      <c r="F146" s="442">
        <f t="shared" ref="F146:I146" si="55">SUM(F135:F144)</f>
        <v>0</v>
      </c>
      <c r="G146" s="442">
        <f t="shared" si="55"/>
        <v>0</v>
      </c>
      <c r="H146" s="442">
        <f t="shared" si="55"/>
        <v>0</v>
      </c>
      <c r="I146" s="442">
        <f t="shared" si="55"/>
        <v>0</v>
      </c>
      <c r="J146" s="442">
        <f t="shared" ref="J146:K146" si="56">SUM(J135:J144)</f>
        <v>0</v>
      </c>
      <c r="K146" s="442">
        <f t="shared" si="56"/>
        <v>0</v>
      </c>
      <c r="L146" s="442">
        <f t="shared" ref="L146" si="57">SUM(L135:L144)</f>
        <v>0</v>
      </c>
      <c r="M146" s="95"/>
    </row>
    <row r="147" spans="2:13" x14ac:dyDescent="0.2">
      <c r="B147" s="83"/>
      <c r="C147" s="130"/>
      <c r="D147" s="132"/>
      <c r="E147" s="132"/>
      <c r="F147" s="177"/>
      <c r="G147" s="177"/>
      <c r="H147" s="177"/>
      <c r="I147" s="177"/>
      <c r="J147" s="177"/>
      <c r="K147" s="177"/>
      <c r="L147" s="177"/>
      <c r="M147" s="87"/>
    </row>
    <row r="148" spans="2:13" x14ac:dyDescent="0.2">
      <c r="B148" s="83"/>
      <c r="C148" s="84"/>
      <c r="D148" s="84"/>
      <c r="E148" s="84"/>
      <c r="F148" s="112"/>
      <c r="G148" s="112"/>
      <c r="H148" s="112"/>
      <c r="I148" s="112"/>
      <c r="J148" s="112"/>
      <c r="K148" s="112"/>
      <c r="L148" s="112"/>
      <c r="M148" s="87"/>
    </row>
    <row r="149" spans="2:13" x14ac:dyDescent="0.2">
      <c r="B149" s="83"/>
      <c r="C149" s="130"/>
      <c r="D149" s="132"/>
      <c r="E149" s="132"/>
      <c r="F149" s="177"/>
      <c r="G149" s="177"/>
      <c r="H149" s="177"/>
      <c r="I149" s="177"/>
      <c r="J149" s="177"/>
      <c r="K149" s="177"/>
      <c r="L149" s="177"/>
      <c r="M149" s="87"/>
    </row>
    <row r="150" spans="2:13" x14ac:dyDescent="0.2">
      <c r="B150" s="83"/>
      <c r="C150" s="130"/>
      <c r="D150" s="484" t="s">
        <v>214</v>
      </c>
      <c r="E150" s="132"/>
      <c r="F150" s="177"/>
      <c r="G150" s="177"/>
      <c r="H150" s="177"/>
      <c r="I150" s="177"/>
      <c r="J150" s="177"/>
      <c r="K150" s="177"/>
      <c r="L150" s="177"/>
      <c r="M150" s="87"/>
    </row>
    <row r="151" spans="2:13" x14ac:dyDescent="0.2">
      <c r="B151" s="83"/>
      <c r="C151" s="130"/>
      <c r="D151" s="132"/>
      <c r="E151" s="132"/>
      <c r="F151" s="177"/>
      <c r="G151" s="177"/>
      <c r="H151" s="177"/>
      <c r="I151" s="177"/>
      <c r="J151" s="177"/>
      <c r="K151" s="177"/>
      <c r="L151" s="177"/>
      <c r="M151" s="87"/>
    </row>
    <row r="152" spans="2:13" x14ac:dyDescent="0.2">
      <c r="B152" s="83"/>
      <c r="C152" s="130"/>
      <c r="D152" s="196" t="s">
        <v>192</v>
      </c>
      <c r="E152" s="132"/>
      <c r="F152" s="302">
        <v>0</v>
      </c>
      <c r="G152" s="302">
        <f t="shared" ref="G152:G157" si="58">F152</f>
        <v>0</v>
      </c>
      <c r="H152" s="302">
        <f t="shared" ref="H152:H157" si="59">G152</f>
        <v>0</v>
      </c>
      <c r="I152" s="302">
        <f t="shared" ref="I152:L157" si="60">H152</f>
        <v>0</v>
      </c>
      <c r="J152" s="302">
        <f t="shared" si="60"/>
        <v>0</v>
      </c>
      <c r="K152" s="302">
        <f t="shared" si="60"/>
        <v>0</v>
      </c>
      <c r="L152" s="302">
        <f t="shared" si="60"/>
        <v>0</v>
      </c>
      <c r="M152" s="87"/>
    </row>
    <row r="153" spans="2:13" x14ac:dyDescent="0.2">
      <c r="B153" s="83"/>
      <c r="C153" s="130"/>
      <c r="D153" s="196" t="s">
        <v>193</v>
      </c>
      <c r="E153" s="132"/>
      <c r="F153" s="302">
        <v>0</v>
      </c>
      <c r="G153" s="302">
        <f t="shared" si="58"/>
        <v>0</v>
      </c>
      <c r="H153" s="302">
        <f t="shared" si="59"/>
        <v>0</v>
      </c>
      <c r="I153" s="302">
        <f t="shared" si="60"/>
        <v>0</v>
      </c>
      <c r="J153" s="302">
        <f t="shared" si="60"/>
        <v>0</v>
      </c>
      <c r="K153" s="302">
        <f t="shared" si="60"/>
        <v>0</v>
      </c>
      <c r="L153" s="302">
        <f t="shared" si="60"/>
        <v>0</v>
      </c>
      <c r="M153" s="87"/>
    </row>
    <row r="154" spans="2:13" x14ac:dyDescent="0.2">
      <c r="B154" s="83"/>
      <c r="C154" s="130"/>
      <c r="D154" s="196" t="s">
        <v>194</v>
      </c>
      <c r="E154" s="132"/>
      <c r="F154" s="302">
        <v>0</v>
      </c>
      <c r="G154" s="302">
        <f t="shared" si="58"/>
        <v>0</v>
      </c>
      <c r="H154" s="302">
        <f t="shared" si="59"/>
        <v>0</v>
      </c>
      <c r="I154" s="302">
        <f t="shared" si="60"/>
        <v>0</v>
      </c>
      <c r="J154" s="302">
        <f t="shared" si="60"/>
        <v>0</v>
      </c>
      <c r="K154" s="302">
        <f t="shared" si="60"/>
        <v>0</v>
      </c>
      <c r="L154" s="302">
        <f t="shared" si="60"/>
        <v>0</v>
      </c>
      <c r="M154" s="87"/>
    </row>
    <row r="155" spans="2:13" x14ac:dyDescent="0.2">
      <c r="B155" s="83"/>
      <c r="C155" s="130"/>
      <c r="D155" s="196" t="s">
        <v>195</v>
      </c>
      <c r="E155" s="132"/>
      <c r="F155" s="302">
        <v>0</v>
      </c>
      <c r="G155" s="302">
        <f t="shared" si="58"/>
        <v>0</v>
      </c>
      <c r="H155" s="302">
        <f t="shared" si="59"/>
        <v>0</v>
      </c>
      <c r="I155" s="302">
        <f t="shared" si="60"/>
        <v>0</v>
      </c>
      <c r="J155" s="302">
        <f t="shared" si="60"/>
        <v>0</v>
      </c>
      <c r="K155" s="302">
        <f t="shared" si="60"/>
        <v>0</v>
      </c>
      <c r="L155" s="302">
        <f t="shared" si="60"/>
        <v>0</v>
      </c>
      <c r="M155" s="87"/>
    </row>
    <row r="156" spans="2:13" x14ac:dyDescent="0.2">
      <c r="B156" s="83"/>
      <c r="C156" s="130"/>
      <c r="D156" s="196" t="s">
        <v>196</v>
      </c>
      <c r="E156" s="132"/>
      <c r="F156" s="302">
        <v>0</v>
      </c>
      <c r="G156" s="302">
        <f t="shared" si="58"/>
        <v>0</v>
      </c>
      <c r="H156" s="302">
        <f t="shared" si="59"/>
        <v>0</v>
      </c>
      <c r="I156" s="302">
        <f t="shared" si="60"/>
        <v>0</v>
      </c>
      <c r="J156" s="302">
        <f t="shared" si="60"/>
        <v>0</v>
      </c>
      <c r="K156" s="302">
        <f t="shared" si="60"/>
        <v>0</v>
      </c>
      <c r="L156" s="302">
        <f t="shared" si="60"/>
        <v>0</v>
      </c>
      <c r="M156" s="87"/>
    </row>
    <row r="157" spans="2:13" x14ac:dyDescent="0.2">
      <c r="B157" s="83"/>
      <c r="C157" s="130"/>
      <c r="D157" s="196" t="s">
        <v>197</v>
      </c>
      <c r="E157" s="132"/>
      <c r="F157" s="302">
        <v>0</v>
      </c>
      <c r="G157" s="302">
        <f t="shared" si="58"/>
        <v>0</v>
      </c>
      <c r="H157" s="302">
        <f t="shared" si="59"/>
        <v>0</v>
      </c>
      <c r="I157" s="302">
        <f t="shared" si="60"/>
        <v>0</v>
      </c>
      <c r="J157" s="302">
        <f t="shared" si="60"/>
        <v>0</v>
      </c>
      <c r="K157" s="302">
        <f t="shared" si="60"/>
        <v>0</v>
      </c>
      <c r="L157" s="302">
        <f t="shared" si="60"/>
        <v>0</v>
      </c>
      <c r="M157" s="87"/>
    </row>
    <row r="158" spans="2:13" x14ac:dyDescent="0.2">
      <c r="B158" s="83"/>
      <c r="C158" s="130"/>
      <c r="D158" s="132"/>
      <c r="E158" s="132"/>
      <c r="F158" s="177"/>
      <c r="G158" s="177"/>
      <c r="H158" s="177"/>
      <c r="I158" s="177"/>
      <c r="J158" s="177"/>
      <c r="K158" s="177"/>
      <c r="L158" s="177"/>
      <c r="M158" s="87"/>
    </row>
    <row r="159" spans="2:13" s="72" customFormat="1" x14ac:dyDescent="0.2">
      <c r="B159" s="94"/>
      <c r="C159" s="146"/>
      <c r="D159" s="148" t="s">
        <v>168</v>
      </c>
      <c r="E159" s="148"/>
      <c r="F159" s="442">
        <f t="shared" ref="F159:I159" si="61">SUM(F152:F157)</f>
        <v>0</v>
      </c>
      <c r="G159" s="442">
        <f t="shared" si="61"/>
        <v>0</v>
      </c>
      <c r="H159" s="442">
        <f t="shared" si="61"/>
        <v>0</v>
      </c>
      <c r="I159" s="442">
        <f t="shared" si="61"/>
        <v>0</v>
      </c>
      <c r="J159" s="442">
        <f t="shared" ref="J159:K159" si="62">SUM(J152:J157)</f>
        <v>0</v>
      </c>
      <c r="K159" s="442">
        <f t="shared" si="62"/>
        <v>0</v>
      </c>
      <c r="L159" s="442">
        <f t="shared" ref="L159" si="63">SUM(L152:L157)</f>
        <v>0</v>
      </c>
      <c r="M159" s="95"/>
    </row>
    <row r="160" spans="2:13" x14ac:dyDescent="0.2">
      <c r="B160" s="83"/>
      <c r="C160" s="130"/>
      <c r="D160" s="132"/>
      <c r="E160" s="132"/>
      <c r="F160" s="259"/>
      <c r="G160" s="259"/>
      <c r="H160" s="259"/>
      <c r="I160" s="259"/>
      <c r="J160" s="259"/>
      <c r="K160" s="259"/>
      <c r="L160" s="259"/>
      <c r="M160" s="87"/>
    </row>
    <row r="161" spans="2:13" x14ac:dyDescent="0.2">
      <c r="B161" s="83"/>
      <c r="C161" s="84"/>
      <c r="D161" s="84"/>
      <c r="E161" s="84"/>
      <c r="F161" s="112"/>
      <c r="G161" s="112"/>
      <c r="H161" s="112"/>
      <c r="I161" s="112"/>
      <c r="J161" s="112"/>
      <c r="K161" s="112"/>
      <c r="L161" s="112"/>
      <c r="M161" s="87"/>
    </row>
    <row r="162" spans="2:13" x14ac:dyDescent="0.2">
      <c r="B162" s="101"/>
      <c r="C162" s="248"/>
      <c r="D162" s="102"/>
      <c r="E162" s="102"/>
      <c r="F162" s="268"/>
      <c r="G162" s="268"/>
      <c r="H162" s="268"/>
      <c r="I162" s="268"/>
      <c r="J162" s="268"/>
      <c r="K162" s="268"/>
      <c r="L162" s="268"/>
      <c r="M162" s="103"/>
    </row>
    <row r="163" spans="2:13" x14ac:dyDescent="0.2">
      <c r="B163" s="78"/>
      <c r="C163" s="116"/>
      <c r="D163" s="79"/>
      <c r="E163" s="79"/>
      <c r="F163" s="117"/>
      <c r="G163" s="117"/>
      <c r="H163" s="117"/>
      <c r="I163" s="117"/>
      <c r="J163" s="117"/>
      <c r="K163" s="117"/>
      <c r="L163" s="117"/>
      <c r="M163" s="82"/>
    </row>
    <row r="164" spans="2:13" x14ac:dyDescent="0.2">
      <c r="B164" s="83"/>
      <c r="C164" s="97"/>
      <c r="D164" s="84"/>
      <c r="E164" s="84"/>
      <c r="F164" s="110"/>
      <c r="G164" s="110"/>
      <c r="H164" s="110"/>
      <c r="I164" s="110"/>
      <c r="J164" s="110"/>
      <c r="K164" s="110"/>
      <c r="L164" s="110"/>
      <c r="M164" s="87"/>
    </row>
    <row r="165" spans="2:13" ht="18.75" x14ac:dyDescent="0.3">
      <c r="B165" s="391"/>
      <c r="C165" s="121" t="s">
        <v>199</v>
      </c>
      <c r="D165" s="121"/>
      <c r="E165" s="105"/>
      <c r="F165" s="360"/>
      <c r="G165" s="360"/>
      <c r="H165" s="360"/>
      <c r="I165" s="360"/>
      <c r="J165" s="360"/>
      <c r="K165" s="360"/>
      <c r="L165" s="360"/>
      <c r="M165" s="393"/>
    </row>
    <row r="166" spans="2:13" ht="18.75" x14ac:dyDescent="0.3">
      <c r="B166" s="83"/>
      <c r="C166" s="493" t="s">
        <v>205</v>
      </c>
      <c r="D166" s="123"/>
      <c r="E166" s="84"/>
      <c r="F166" s="110"/>
      <c r="G166" s="110"/>
      <c r="H166" s="110"/>
      <c r="I166" s="110"/>
      <c r="J166" s="110"/>
      <c r="K166" s="110"/>
      <c r="L166" s="110"/>
      <c r="M166" s="87"/>
    </row>
    <row r="167" spans="2:13" x14ac:dyDescent="0.2">
      <c r="B167" s="83"/>
      <c r="C167" s="97"/>
      <c r="D167" s="84"/>
      <c r="E167" s="84"/>
      <c r="F167" s="110"/>
      <c r="G167" s="110"/>
      <c r="H167" s="110"/>
      <c r="I167" s="110"/>
      <c r="J167" s="110"/>
      <c r="K167" s="110"/>
      <c r="L167" s="110"/>
      <c r="M167" s="87"/>
    </row>
    <row r="168" spans="2:13" x14ac:dyDescent="0.2">
      <c r="B168" s="83"/>
      <c r="C168" s="97"/>
      <c r="D168" s="85"/>
      <c r="E168" s="85"/>
      <c r="F168" s="482">
        <f t="shared" ref="F168:I168" si="64">F9</f>
        <v>2016</v>
      </c>
      <c r="G168" s="482">
        <f t="shared" si="64"/>
        <v>2017</v>
      </c>
      <c r="H168" s="482">
        <f t="shared" si="64"/>
        <v>2018</v>
      </c>
      <c r="I168" s="482">
        <f t="shared" si="64"/>
        <v>2019</v>
      </c>
      <c r="J168" s="482">
        <f t="shared" ref="J168:K168" si="65">J9</f>
        <v>2020</v>
      </c>
      <c r="K168" s="482">
        <f t="shared" si="65"/>
        <v>2021</v>
      </c>
      <c r="L168" s="482">
        <f t="shared" ref="L168" si="66">L9</f>
        <v>2022</v>
      </c>
      <c r="M168" s="87"/>
    </row>
    <row r="169" spans="2:13" x14ac:dyDescent="0.2">
      <c r="B169" s="83"/>
      <c r="C169" s="97"/>
      <c r="D169" s="84"/>
      <c r="E169" s="84"/>
      <c r="F169" s="110"/>
      <c r="G169" s="110"/>
      <c r="H169" s="110"/>
      <c r="I169" s="110"/>
      <c r="J169" s="110"/>
      <c r="K169" s="110"/>
      <c r="L169" s="110"/>
      <c r="M169" s="87"/>
    </row>
    <row r="170" spans="2:13" x14ac:dyDescent="0.2">
      <c r="B170" s="83"/>
      <c r="C170" s="200"/>
      <c r="D170" s="127"/>
      <c r="E170" s="127"/>
      <c r="F170" s="201"/>
      <c r="G170" s="201"/>
      <c r="H170" s="201"/>
      <c r="I170" s="201"/>
      <c r="J170" s="201"/>
      <c r="K170" s="201"/>
      <c r="L170" s="201"/>
      <c r="M170" s="87"/>
    </row>
    <row r="171" spans="2:13" x14ac:dyDescent="0.2">
      <c r="B171" s="83"/>
      <c r="C171" s="147"/>
      <c r="D171" s="484" t="s">
        <v>224</v>
      </c>
      <c r="E171" s="132"/>
      <c r="F171" s="188"/>
      <c r="G171" s="188"/>
      <c r="H171" s="188"/>
      <c r="I171" s="188"/>
      <c r="J171" s="188"/>
      <c r="K171" s="188"/>
      <c r="L171" s="188"/>
      <c r="M171" s="87"/>
    </row>
    <row r="172" spans="2:13" x14ac:dyDescent="0.2">
      <c r="B172" s="83"/>
      <c r="C172" s="147"/>
      <c r="D172" s="132"/>
      <c r="E172" s="132"/>
      <c r="F172" s="188"/>
      <c r="G172" s="188"/>
      <c r="H172" s="188"/>
      <c r="I172" s="188"/>
      <c r="J172" s="188"/>
      <c r="K172" s="188"/>
      <c r="L172" s="188"/>
      <c r="M172" s="87"/>
    </row>
    <row r="173" spans="2:13" x14ac:dyDescent="0.2">
      <c r="B173" s="83"/>
      <c r="C173" s="147"/>
      <c r="D173" s="148" t="s">
        <v>139</v>
      </c>
      <c r="E173" s="132"/>
      <c r="F173" s="188"/>
      <c r="G173" s="188"/>
      <c r="H173" s="188"/>
      <c r="I173" s="188"/>
      <c r="J173" s="188"/>
      <c r="K173" s="188"/>
      <c r="L173" s="188"/>
      <c r="M173" s="87"/>
    </row>
    <row r="174" spans="2:13" x14ac:dyDescent="0.2">
      <c r="B174" s="83"/>
      <c r="C174" s="147"/>
      <c r="D174" s="132" t="s">
        <v>2</v>
      </c>
      <c r="E174" s="132"/>
      <c r="F174" s="358">
        <f>F57</f>
        <v>0</v>
      </c>
      <c r="G174" s="358">
        <f t="shared" ref="G174:I174" si="67">G57</f>
        <v>0</v>
      </c>
      <c r="H174" s="358">
        <f t="shared" si="67"/>
        <v>0</v>
      </c>
      <c r="I174" s="358">
        <f t="shared" si="67"/>
        <v>0</v>
      </c>
      <c r="J174" s="358">
        <f t="shared" ref="J174:K174" si="68">J57</f>
        <v>0</v>
      </c>
      <c r="K174" s="358">
        <f t="shared" si="68"/>
        <v>0</v>
      </c>
      <c r="L174" s="358">
        <f t="shared" ref="L174" si="69">L57</f>
        <v>0</v>
      </c>
      <c r="M174" s="87"/>
    </row>
    <row r="175" spans="2:13" x14ac:dyDescent="0.2">
      <c r="B175" s="83"/>
      <c r="C175" s="146"/>
      <c r="D175" s="131" t="s">
        <v>151</v>
      </c>
      <c r="E175" s="132"/>
      <c r="F175" s="358">
        <f t="shared" ref="F175:K175" si="70">F69</f>
        <v>0</v>
      </c>
      <c r="G175" s="358">
        <f t="shared" si="70"/>
        <v>0</v>
      </c>
      <c r="H175" s="358">
        <f t="shared" si="70"/>
        <v>0</v>
      </c>
      <c r="I175" s="358">
        <f t="shared" si="70"/>
        <v>0</v>
      </c>
      <c r="J175" s="358">
        <f t="shared" si="70"/>
        <v>0</v>
      </c>
      <c r="K175" s="358">
        <f t="shared" si="70"/>
        <v>0</v>
      </c>
      <c r="L175" s="358">
        <f t="shared" ref="L175" si="71">L69</f>
        <v>0</v>
      </c>
      <c r="M175" s="87"/>
    </row>
    <row r="176" spans="2:13" x14ac:dyDescent="0.2">
      <c r="B176" s="83"/>
      <c r="C176" s="146"/>
      <c r="D176" s="132" t="s">
        <v>0</v>
      </c>
      <c r="E176" s="132"/>
      <c r="F176" s="358">
        <f t="shared" ref="F176:K176" si="72">F81</f>
        <v>0</v>
      </c>
      <c r="G176" s="358">
        <f t="shared" si="72"/>
        <v>0</v>
      </c>
      <c r="H176" s="358">
        <f t="shared" si="72"/>
        <v>0</v>
      </c>
      <c r="I176" s="358">
        <f t="shared" si="72"/>
        <v>0</v>
      </c>
      <c r="J176" s="358">
        <f t="shared" si="72"/>
        <v>0</v>
      </c>
      <c r="K176" s="358">
        <f t="shared" si="72"/>
        <v>0</v>
      </c>
      <c r="L176" s="358">
        <f t="shared" ref="L176" si="73">L81</f>
        <v>0</v>
      </c>
      <c r="M176" s="87"/>
    </row>
    <row r="177" spans="2:13" x14ac:dyDescent="0.2">
      <c r="B177" s="83"/>
      <c r="C177" s="147"/>
      <c r="D177" s="148"/>
      <c r="E177" s="132"/>
      <c r="F177" s="361">
        <f>SUM(F174:F176)</f>
        <v>0</v>
      </c>
      <c r="G177" s="361">
        <f t="shared" ref="G177:J177" si="74">SUM(G174:G176)</f>
        <v>0</v>
      </c>
      <c r="H177" s="361">
        <f t="shared" si="74"/>
        <v>0</v>
      </c>
      <c r="I177" s="361">
        <f t="shared" si="74"/>
        <v>0</v>
      </c>
      <c r="J177" s="361">
        <f t="shared" si="74"/>
        <v>0</v>
      </c>
      <c r="K177" s="361">
        <f t="shared" ref="K177:L177" si="75">SUM(K174:K176)</f>
        <v>0</v>
      </c>
      <c r="L177" s="361">
        <f t="shared" si="75"/>
        <v>0</v>
      </c>
      <c r="M177" s="87"/>
    </row>
    <row r="178" spans="2:13" x14ac:dyDescent="0.2">
      <c r="B178" s="83"/>
      <c r="C178" s="203"/>
      <c r="D178" s="148" t="s">
        <v>140</v>
      </c>
      <c r="E178" s="148"/>
      <c r="F178" s="202"/>
      <c r="G178" s="202"/>
      <c r="H178" s="202"/>
      <c r="I178" s="202"/>
      <c r="J178" s="202"/>
      <c r="K178" s="202"/>
      <c r="L178" s="202"/>
      <c r="M178" s="87"/>
    </row>
    <row r="179" spans="2:13" x14ac:dyDescent="0.2">
      <c r="B179" s="83"/>
      <c r="C179" s="130"/>
      <c r="D179" s="132" t="s">
        <v>101</v>
      </c>
      <c r="E179" s="132"/>
      <c r="F179" s="358">
        <f t="shared" ref="F179:K179" si="76">F118</f>
        <v>0</v>
      </c>
      <c r="G179" s="358">
        <f t="shared" si="76"/>
        <v>0</v>
      </c>
      <c r="H179" s="358">
        <f t="shared" si="76"/>
        <v>0</v>
      </c>
      <c r="I179" s="358">
        <f t="shared" si="76"/>
        <v>0</v>
      </c>
      <c r="J179" s="358">
        <f t="shared" si="76"/>
        <v>0</v>
      </c>
      <c r="K179" s="358">
        <f t="shared" si="76"/>
        <v>0</v>
      </c>
      <c r="L179" s="358">
        <f t="shared" ref="L179" si="77">L118</f>
        <v>0</v>
      </c>
      <c r="M179" s="87"/>
    </row>
    <row r="180" spans="2:13" x14ac:dyDescent="0.2">
      <c r="B180" s="83"/>
      <c r="C180" s="130"/>
      <c r="D180" s="132" t="s">
        <v>73</v>
      </c>
      <c r="E180" s="132"/>
      <c r="F180" s="358">
        <f t="shared" ref="F180:K180" si="78">F129</f>
        <v>0</v>
      </c>
      <c r="G180" s="358">
        <f t="shared" si="78"/>
        <v>0</v>
      </c>
      <c r="H180" s="358">
        <f t="shared" si="78"/>
        <v>0</v>
      </c>
      <c r="I180" s="358">
        <f t="shared" si="78"/>
        <v>0</v>
      </c>
      <c r="J180" s="358">
        <f t="shared" si="78"/>
        <v>0</v>
      </c>
      <c r="K180" s="358">
        <f t="shared" si="78"/>
        <v>0</v>
      </c>
      <c r="L180" s="358">
        <f t="shared" ref="L180" si="79">L129</f>
        <v>0</v>
      </c>
      <c r="M180" s="87"/>
    </row>
    <row r="181" spans="2:13" x14ac:dyDescent="0.2">
      <c r="B181" s="83"/>
      <c r="C181" s="130"/>
      <c r="D181" s="132" t="s">
        <v>74</v>
      </c>
      <c r="E181" s="132"/>
      <c r="F181" s="358">
        <f t="shared" ref="F181:K181" si="80">F146</f>
        <v>0</v>
      </c>
      <c r="G181" s="358">
        <f t="shared" si="80"/>
        <v>0</v>
      </c>
      <c r="H181" s="358">
        <f t="shared" si="80"/>
        <v>0</v>
      </c>
      <c r="I181" s="358">
        <f t="shared" si="80"/>
        <v>0</v>
      </c>
      <c r="J181" s="358">
        <f t="shared" si="80"/>
        <v>0</v>
      </c>
      <c r="K181" s="358">
        <f t="shared" si="80"/>
        <v>0</v>
      </c>
      <c r="L181" s="358">
        <f t="shared" ref="L181" si="81">L146</f>
        <v>0</v>
      </c>
      <c r="M181" s="87"/>
    </row>
    <row r="182" spans="2:13" x14ac:dyDescent="0.2">
      <c r="B182" s="83"/>
      <c r="C182" s="130"/>
      <c r="D182" s="132" t="s">
        <v>72</v>
      </c>
      <c r="E182" s="132"/>
      <c r="F182" s="358">
        <f t="shared" ref="F182:K182" si="82">F159</f>
        <v>0</v>
      </c>
      <c r="G182" s="358">
        <f t="shared" si="82"/>
        <v>0</v>
      </c>
      <c r="H182" s="358">
        <f t="shared" si="82"/>
        <v>0</v>
      </c>
      <c r="I182" s="358">
        <f t="shared" si="82"/>
        <v>0</v>
      </c>
      <c r="J182" s="358">
        <f t="shared" si="82"/>
        <v>0</v>
      </c>
      <c r="K182" s="358">
        <f t="shared" si="82"/>
        <v>0</v>
      </c>
      <c r="L182" s="358">
        <f t="shared" ref="L182" si="83">L159</f>
        <v>0</v>
      </c>
      <c r="M182" s="87"/>
    </row>
    <row r="183" spans="2:13" x14ac:dyDescent="0.2">
      <c r="B183" s="83"/>
      <c r="C183" s="130"/>
      <c r="D183" s="148"/>
      <c r="E183" s="132"/>
      <c r="F183" s="362">
        <f t="shared" ref="F183:K183" si="84">SUM(F179:F182)</f>
        <v>0</v>
      </c>
      <c r="G183" s="362">
        <f t="shared" si="84"/>
        <v>0</v>
      </c>
      <c r="H183" s="362">
        <f t="shared" si="84"/>
        <v>0</v>
      </c>
      <c r="I183" s="362">
        <f t="shared" si="84"/>
        <v>0</v>
      </c>
      <c r="J183" s="362">
        <f t="shared" si="84"/>
        <v>0</v>
      </c>
      <c r="K183" s="362">
        <f t="shared" si="84"/>
        <v>0</v>
      </c>
      <c r="L183" s="362">
        <f t="shared" ref="L183" si="85">SUM(L179:L182)</f>
        <v>0</v>
      </c>
      <c r="M183" s="87"/>
    </row>
    <row r="184" spans="2:13" x14ac:dyDescent="0.2">
      <c r="B184" s="83"/>
      <c r="C184" s="130"/>
      <c r="D184" s="255"/>
      <c r="E184" s="164"/>
      <c r="F184" s="169"/>
      <c r="G184" s="169"/>
      <c r="H184" s="169"/>
      <c r="I184" s="169"/>
      <c r="J184" s="169"/>
      <c r="K184" s="169"/>
      <c r="L184" s="169"/>
      <c r="M184" s="87"/>
    </row>
    <row r="185" spans="2:13" x14ac:dyDescent="0.2">
      <c r="B185" s="83"/>
      <c r="C185" s="146"/>
      <c r="D185" s="141" t="s">
        <v>143</v>
      </c>
      <c r="E185" s="164"/>
      <c r="F185" s="362">
        <f t="shared" ref="F185:G185" si="86">F177-F183</f>
        <v>0</v>
      </c>
      <c r="G185" s="362">
        <f t="shared" si="86"/>
        <v>0</v>
      </c>
      <c r="H185" s="362">
        <f t="shared" ref="H185:I185" si="87">H177-H183</f>
        <v>0</v>
      </c>
      <c r="I185" s="362">
        <f t="shared" si="87"/>
        <v>0</v>
      </c>
      <c r="J185" s="362">
        <f t="shared" ref="J185:K185" si="88">J177-J183</f>
        <v>0</v>
      </c>
      <c r="K185" s="362">
        <f t="shared" si="88"/>
        <v>0</v>
      </c>
      <c r="L185" s="362">
        <f t="shared" ref="L185" si="89">L177-L183</f>
        <v>0</v>
      </c>
      <c r="M185" s="87"/>
    </row>
    <row r="186" spans="2:13" x14ac:dyDescent="0.2">
      <c r="B186" s="83"/>
      <c r="C186" s="130"/>
      <c r="D186" s="144"/>
      <c r="E186" s="164"/>
      <c r="F186" s="169"/>
      <c r="G186" s="169"/>
      <c r="H186" s="169"/>
      <c r="I186" s="169"/>
      <c r="J186" s="169"/>
      <c r="K186" s="169"/>
      <c r="L186" s="169"/>
      <c r="M186" s="87"/>
    </row>
    <row r="187" spans="2:13" x14ac:dyDescent="0.2">
      <c r="B187" s="83"/>
      <c r="C187" s="97"/>
      <c r="D187" s="84"/>
      <c r="E187" s="84"/>
      <c r="F187" s="110"/>
      <c r="G187" s="110"/>
      <c r="H187" s="110"/>
      <c r="I187" s="110"/>
      <c r="J187" s="110"/>
      <c r="K187" s="110"/>
      <c r="L187" s="110"/>
      <c r="M187" s="87"/>
    </row>
    <row r="188" spans="2:13" x14ac:dyDescent="0.2">
      <c r="B188" s="83"/>
      <c r="C188" s="130"/>
      <c r="D188" s="144"/>
      <c r="E188" s="164"/>
      <c r="F188" s="161"/>
      <c r="G188" s="161"/>
      <c r="H188" s="161"/>
      <c r="I188" s="161"/>
      <c r="J188" s="161"/>
      <c r="K188" s="161"/>
      <c r="L188" s="161"/>
      <c r="M188" s="87"/>
    </row>
    <row r="189" spans="2:13" x14ac:dyDescent="0.2">
      <c r="B189" s="83"/>
      <c r="C189" s="130"/>
      <c r="D189" s="488" t="s">
        <v>102</v>
      </c>
      <c r="E189" s="164"/>
      <c r="F189" s="161"/>
      <c r="G189" s="161"/>
      <c r="H189" s="161"/>
      <c r="I189" s="161"/>
      <c r="J189" s="161"/>
      <c r="K189" s="161"/>
      <c r="L189" s="161"/>
      <c r="M189" s="87"/>
    </row>
    <row r="190" spans="2:13" x14ac:dyDescent="0.2">
      <c r="B190" s="83"/>
      <c r="C190" s="130"/>
      <c r="D190" s="144"/>
      <c r="E190" s="164"/>
      <c r="F190" s="161"/>
      <c r="G190" s="161"/>
      <c r="H190" s="161"/>
      <c r="I190" s="161"/>
      <c r="J190" s="161"/>
      <c r="K190" s="161"/>
      <c r="L190" s="161"/>
      <c r="M190" s="87"/>
    </row>
    <row r="191" spans="2:13" x14ac:dyDescent="0.2">
      <c r="B191" s="83"/>
      <c r="C191" s="130"/>
      <c r="D191" s="131" t="s">
        <v>103</v>
      </c>
      <c r="E191" s="164"/>
      <c r="F191" s="302">
        <v>0</v>
      </c>
      <c r="G191" s="302">
        <f t="shared" ref="G191:L192" si="90">F191</f>
        <v>0</v>
      </c>
      <c r="H191" s="302">
        <f t="shared" si="90"/>
        <v>0</v>
      </c>
      <c r="I191" s="302">
        <f t="shared" si="90"/>
        <v>0</v>
      </c>
      <c r="J191" s="302">
        <f t="shared" si="90"/>
        <v>0</v>
      </c>
      <c r="K191" s="302">
        <f t="shared" si="90"/>
        <v>0</v>
      </c>
      <c r="L191" s="302">
        <f t="shared" si="90"/>
        <v>0</v>
      </c>
      <c r="M191" s="87"/>
    </row>
    <row r="192" spans="2:13" x14ac:dyDescent="0.2">
      <c r="B192" s="83"/>
      <c r="C192" s="130"/>
      <c r="D192" s="131" t="s">
        <v>104</v>
      </c>
      <c r="E192" s="164"/>
      <c r="F192" s="302">
        <v>0</v>
      </c>
      <c r="G192" s="302">
        <f t="shared" si="90"/>
        <v>0</v>
      </c>
      <c r="H192" s="302">
        <f t="shared" si="90"/>
        <v>0</v>
      </c>
      <c r="I192" s="302">
        <f t="shared" si="90"/>
        <v>0</v>
      </c>
      <c r="J192" s="302">
        <f t="shared" si="90"/>
        <v>0</v>
      </c>
      <c r="K192" s="302">
        <f t="shared" si="90"/>
        <v>0</v>
      </c>
      <c r="L192" s="302">
        <f t="shared" si="90"/>
        <v>0</v>
      </c>
      <c r="M192" s="87"/>
    </row>
    <row r="193" spans="2:13" x14ac:dyDescent="0.2">
      <c r="B193" s="83"/>
      <c r="C193" s="130"/>
      <c r="D193" s="131"/>
      <c r="E193" s="164"/>
      <c r="F193" s="161"/>
      <c r="G193" s="161"/>
      <c r="H193" s="161"/>
      <c r="I193" s="161"/>
      <c r="J193" s="161"/>
      <c r="K193" s="161"/>
      <c r="L193" s="161"/>
      <c r="M193" s="87"/>
    </row>
    <row r="194" spans="2:13" x14ac:dyDescent="0.2">
      <c r="B194" s="83"/>
      <c r="C194" s="146"/>
      <c r="D194" s="141" t="s">
        <v>137</v>
      </c>
      <c r="E194" s="148"/>
      <c r="F194" s="362">
        <f t="shared" ref="F194:J194" si="91">F191-F192</f>
        <v>0</v>
      </c>
      <c r="G194" s="362">
        <f t="shared" si="91"/>
        <v>0</v>
      </c>
      <c r="H194" s="362">
        <f t="shared" si="91"/>
        <v>0</v>
      </c>
      <c r="I194" s="362">
        <f t="shared" si="91"/>
        <v>0</v>
      </c>
      <c r="J194" s="362">
        <f t="shared" si="91"/>
        <v>0</v>
      </c>
      <c r="K194" s="362">
        <f t="shared" ref="K194:L194" si="92">K191-K192</f>
        <v>0</v>
      </c>
      <c r="L194" s="362">
        <f t="shared" si="92"/>
        <v>0</v>
      </c>
      <c r="M194" s="87"/>
    </row>
    <row r="195" spans="2:13" x14ac:dyDescent="0.2">
      <c r="B195" s="83"/>
      <c r="C195" s="130"/>
      <c r="D195" s="131"/>
      <c r="E195" s="164"/>
      <c r="F195" s="161"/>
      <c r="G195" s="161"/>
      <c r="H195" s="161"/>
      <c r="I195" s="161"/>
      <c r="J195" s="161"/>
      <c r="K195" s="161"/>
      <c r="L195" s="161"/>
      <c r="M195" s="87"/>
    </row>
    <row r="196" spans="2:13" x14ac:dyDescent="0.2">
      <c r="B196" s="83"/>
      <c r="C196" s="97"/>
      <c r="D196" s="84"/>
      <c r="E196" s="84"/>
      <c r="F196" s="110"/>
      <c r="G196" s="110"/>
      <c r="H196" s="110"/>
      <c r="I196" s="110"/>
      <c r="J196" s="110"/>
      <c r="K196" s="110"/>
      <c r="L196" s="110"/>
      <c r="M196" s="87"/>
    </row>
    <row r="197" spans="2:13" x14ac:dyDescent="0.2">
      <c r="B197" s="83"/>
      <c r="C197" s="130"/>
      <c r="D197" s="131"/>
      <c r="E197" s="164"/>
      <c r="F197" s="161"/>
      <c r="G197" s="161"/>
      <c r="H197" s="161"/>
      <c r="I197" s="161"/>
      <c r="J197" s="161"/>
      <c r="K197" s="161"/>
      <c r="L197" s="161"/>
      <c r="M197" s="87"/>
    </row>
    <row r="198" spans="2:13" x14ac:dyDescent="0.2">
      <c r="B198" s="83"/>
      <c r="C198" s="146"/>
      <c r="D198" s="488" t="s">
        <v>144</v>
      </c>
      <c r="E198" s="148"/>
      <c r="F198" s="362">
        <f t="shared" ref="F198:I198" si="93">F185+F194</f>
        <v>0</v>
      </c>
      <c r="G198" s="362">
        <f t="shared" si="93"/>
        <v>0</v>
      </c>
      <c r="H198" s="362">
        <f t="shared" si="93"/>
        <v>0</v>
      </c>
      <c r="I198" s="362">
        <f t="shared" si="93"/>
        <v>0</v>
      </c>
      <c r="J198" s="362">
        <f t="shared" ref="J198:K198" si="94">J185+J194</f>
        <v>0</v>
      </c>
      <c r="K198" s="362">
        <f t="shared" si="94"/>
        <v>0</v>
      </c>
      <c r="L198" s="362">
        <f t="shared" ref="L198" si="95">L185+L194</f>
        <v>0</v>
      </c>
      <c r="M198" s="87"/>
    </row>
    <row r="199" spans="2:13" x14ac:dyDescent="0.2">
      <c r="B199" s="83"/>
      <c r="C199" s="146"/>
      <c r="D199" s="390" t="s">
        <v>158</v>
      </c>
      <c r="E199" s="455"/>
      <c r="F199" s="476" t="e">
        <f t="shared" ref="F199:I199" si="96">F198/(F177+F191)</f>
        <v>#DIV/0!</v>
      </c>
      <c r="G199" s="476" t="e">
        <f t="shared" si="96"/>
        <v>#DIV/0!</v>
      </c>
      <c r="H199" s="476" t="e">
        <f t="shared" si="96"/>
        <v>#DIV/0!</v>
      </c>
      <c r="I199" s="476" t="e">
        <f t="shared" si="96"/>
        <v>#DIV/0!</v>
      </c>
      <c r="J199" s="476" t="e">
        <f t="shared" ref="J199:K199" si="97">J198/(J177+J191)</f>
        <v>#DIV/0!</v>
      </c>
      <c r="K199" s="476" t="e">
        <f t="shared" si="97"/>
        <v>#DIV/0!</v>
      </c>
      <c r="L199" s="476" t="e">
        <f t="shared" ref="L199" si="98">L198/(L177+L191)</f>
        <v>#DIV/0!</v>
      </c>
      <c r="M199" s="87"/>
    </row>
    <row r="200" spans="2:13" x14ac:dyDescent="0.2">
      <c r="B200" s="83"/>
      <c r="C200" s="130"/>
      <c r="D200" s="131"/>
      <c r="E200" s="164"/>
      <c r="F200" s="161"/>
      <c r="G200" s="161"/>
      <c r="H200" s="161"/>
      <c r="I200" s="161"/>
      <c r="J200" s="161"/>
      <c r="K200" s="161"/>
      <c r="L200" s="161"/>
      <c r="M200" s="87"/>
    </row>
    <row r="201" spans="2:13" x14ac:dyDescent="0.2">
      <c r="B201" s="83"/>
      <c r="C201" s="97"/>
      <c r="D201" s="84"/>
      <c r="E201" s="84"/>
      <c r="F201" s="110"/>
      <c r="G201" s="110"/>
      <c r="H201" s="110"/>
      <c r="I201" s="110"/>
      <c r="J201" s="110"/>
      <c r="K201" s="110"/>
      <c r="L201" s="110"/>
      <c r="M201" s="87"/>
    </row>
    <row r="202" spans="2:13" x14ac:dyDescent="0.2">
      <c r="B202" s="101"/>
      <c r="C202" s="102"/>
      <c r="D202" s="269"/>
      <c r="E202" s="248"/>
      <c r="F202" s="270"/>
      <c r="G202" s="270"/>
      <c r="H202" s="270"/>
      <c r="I202" s="270"/>
      <c r="J202" s="270"/>
      <c r="K202" s="270"/>
      <c r="L202" s="270"/>
      <c r="M202" s="103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2" manualBreakCount="2">
    <brk id="83" min="1" max="14" man="1"/>
    <brk id="162" min="1" max="1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288"/>
  <sheetViews>
    <sheetView showGridLines="0" zoomScale="85" zoomScaleNormal="85" zoomScaleSheetLayoutView="85" workbookViewId="0">
      <selection activeCell="M113" sqref="M113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211:E211"/>
    <mergeCell ref="D212:E212"/>
    <mergeCell ref="D213:E213"/>
    <mergeCell ref="D214:E214"/>
    <mergeCell ref="D215:E215"/>
    <mergeCell ref="D210:E210"/>
    <mergeCell ref="D195:E195"/>
    <mergeCell ref="D196:E196"/>
    <mergeCell ref="D197:E197"/>
    <mergeCell ref="D162:E162"/>
    <mergeCell ref="D182:E182"/>
    <mergeCell ref="D183:E183"/>
    <mergeCell ref="D184:E184"/>
    <mergeCell ref="D185:E185"/>
    <mergeCell ref="D186:E186"/>
    <mergeCell ref="D198:E198"/>
    <mergeCell ref="D206:E206"/>
    <mergeCell ref="D207:E207"/>
    <mergeCell ref="D208:E208"/>
    <mergeCell ref="D209:E209"/>
    <mergeCell ref="D161:E161"/>
    <mergeCell ref="D127:E127"/>
    <mergeCell ref="D128:E128"/>
    <mergeCell ref="D131:E131"/>
    <mergeCell ref="D132:E132"/>
    <mergeCell ref="D133:E133"/>
    <mergeCell ref="D134:E134"/>
    <mergeCell ref="D135:E135"/>
    <mergeCell ref="D146:E146"/>
    <mergeCell ref="D149:E149"/>
    <mergeCell ref="D150:E150"/>
    <mergeCell ref="D158:E158"/>
    <mergeCell ref="D126:E126"/>
    <mergeCell ref="D118:E118"/>
    <mergeCell ref="D119:E119"/>
    <mergeCell ref="D120:E120"/>
    <mergeCell ref="D124:E124"/>
    <mergeCell ref="D125:E125"/>
  </mergeCells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288"/>
  <sheetViews>
    <sheetView showGridLines="0" zoomScale="85" zoomScaleNormal="85" zoomScaleSheetLayoutView="85" workbookViewId="0">
      <selection activeCell="M113" sqref="M113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211:E211"/>
    <mergeCell ref="D212:E212"/>
    <mergeCell ref="D213:E213"/>
    <mergeCell ref="D214:E214"/>
    <mergeCell ref="D215:E215"/>
    <mergeCell ref="D210:E210"/>
    <mergeCell ref="D195:E195"/>
    <mergeCell ref="D196:E196"/>
    <mergeCell ref="D197:E197"/>
    <mergeCell ref="D162:E162"/>
    <mergeCell ref="D182:E182"/>
    <mergeCell ref="D183:E183"/>
    <mergeCell ref="D184:E184"/>
    <mergeCell ref="D185:E185"/>
    <mergeCell ref="D186:E186"/>
    <mergeCell ref="D198:E198"/>
    <mergeCell ref="D206:E206"/>
    <mergeCell ref="D207:E207"/>
    <mergeCell ref="D208:E208"/>
    <mergeCell ref="D209:E209"/>
    <mergeCell ref="D161:E161"/>
    <mergeCell ref="D127:E127"/>
    <mergeCell ref="D128:E128"/>
    <mergeCell ref="D131:E131"/>
    <mergeCell ref="D132:E132"/>
    <mergeCell ref="D133:E133"/>
    <mergeCell ref="D134:E134"/>
    <mergeCell ref="D135:E135"/>
    <mergeCell ref="D146:E146"/>
    <mergeCell ref="D149:E149"/>
    <mergeCell ref="D150:E150"/>
    <mergeCell ref="D158:E158"/>
    <mergeCell ref="D126:E126"/>
    <mergeCell ref="D118:E118"/>
    <mergeCell ref="D119:E119"/>
    <mergeCell ref="D120:E120"/>
    <mergeCell ref="D124:E124"/>
    <mergeCell ref="D125:E125"/>
  </mergeCells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75"/>
  <sheetViews>
    <sheetView showGridLines="0" zoomScale="85" zoomScaleNormal="85" zoomScaleSheetLayoutView="85" workbookViewId="0">
      <pane ySplit="8" topLeftCell="A9" activePane="bottomLeft" state="frozen"/>
      <selection activeCell="B2" sqref="B2"/>
      <selection pane="bottomLeft" activeCell="G17" sqref="G17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0.7109375" style="67" customWidth="1"/>
    <col min="6" max="6" width="2.7109375" style="67" customWidth="1"/>
    <col min="7" max="31" width="10.7109375" style="67" customWidth="1"/>
    <col min="32" max="34" width="2.7109375" style="67" customWidth="1"/>
    <col min="35" max="16384" width="9.140625" style="67"/>
  </cols>
  <sheetData>
    <row r="1" spans="2:33" ht="12.75" customHeight="1" x14ac:dyDescent="0.2"/>
    <row r="2" spans="2:33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2"/>
    </row>
    <row r="3" spans="2:33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7"/>
    </row>
    <row r="4" spans="2:33" s="394" customFormat="1" ht="18.75" x14ac:dyDescent="0.3">
      <c r="B4" s="391"/>
      <c r="C4" s="121" t="str">
        <f>"SAMENVATTING BEKOSTIGINGSGEGEVENS BASISSCHOLEN "&amp;tabpers!M2</f>
        <v>SAMENVATTING BEKOSTIGINGSGEGEVENS BASISSCHOLEN 2016/17</v>
      </c>
      <c r="D4" s="105"/>
      <c r="E4" s="105"/>
      <c r="F4" s="105"/>
      <c r="G4" s="436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  <c r="AA4" s="392"/>
      <c r="AB4" s="392"/>
      <c r="AC4" s="392"/>
      <c r="AD4" s="392"/>
      <c r="AE4" s="392"/>
      <c r="AF4" s="392"/>
      <c r="AG4" s="393"/>
    </row>
    <row r="5" spans="2:33" s="511" customFormat="1" ht="15.75" x14ac:dyDescent="0.25">
      <c r="B5" s="507"/>
      <c r="C5" s="490" t="str">
        <f>tot!F9</f>
        <v>Proefbestuur</v>
      </c>
      <c r="D5" s="490"/>
      <c r="E5" s="490"/>
      <c r="F5" s="490"/>
      <c r="G5" s="508"/>
      <c r="H5" s="509"/>
      <c r="I5" s="509"/>
      <c r="J5" s="509"/>
      <c r="K5" s="509"/>
      <c r="L5" s="509"/>
      <c r="M5" s="509"/>
      <c r="N5" s="509"/>
      <c r="O5" s="509"/>
      <c r="P5" s="509"/>
      <c r="Q5" s="509"/>
      <c r="R5" s="509"/>
      <c r="S5" s="509"/>
      <c r="T5" s="509"/>
      <c r="U5" s="509"/>
      <c r="V5" s="509"/>
      <c r="W5" s="509"/>
      <c r="X5" s="509"/>
      <c r="Y5" s="509"/>
      <c r="Z5" s="509"/>
      <c r="AA5" s="509"/>
      <c r="AB5" s="509"/>
      <c r="AC5" s="509"/>
      <c r="AD5" s="509"/>
      <c r="AE5" s="509"/>
      <c r="AF5" s="509"/>
      <c r="AG5" s="510"/>
    </row>
    <row r="6" spans="2:33" x14ac:dyDescent="0.2">
      <c r="B6" s="83"/>
      <c r="C6" s="84"/>
      <c r="D6" s="84"/>
      <c r="E6" s="84"/>
      <c r="F6" s="84"/>
      <c r="G6" s="85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359"/>
      <c r="AG6" s="87"/>
    </row>
    <row r="7" spans="2:33" s="464" customFormat="1" x14ac:dyDescent="0.2">
      <c r="B7" s="460"/>
      <c r="C7" s="461"/>
      <c r="D7" s="462"/>
      <c r="E7" s="481" t="s">
        <v>253</v>
      </c>
      <c r="F7" s="505"/>
      <c r="G7" s="482" t="str">
        <f>'1'!G14</f>
        <v>00AA</v>
      </c>
      <c r="H7" s="482">
        <f>'2'!G14</f>
        <v>0</v>
      </c>
      <c r="I7" s="482">
        <f>'3'!G14</f>
        <v>0</v>
      </c>
      <c r="J7" s="482">
        <f>'4'!G14</f>
        <v>0</v>
      </c>
      <c r="K7" s="482">
        <f>'5'!G14</f>
        <v>0</v>
      </c>
      <c r="L7" s="482">
        <f>'6'!G14</f>
        <v>0</v>
      </c>
      <c r="M7" s="482">
        <f>'7'!G14</f>
        <v>0</v>
      </c>
      <c r="N7" s="482">
        <f>'8'!G14</f>
        <v>0</v>
      </c>
      <c r="O7" s="482">
        <f>'9'!G14</f>
        <v>0</v>
      </c>
      <c r="P7" s="482">
        <f>'10'!G14</f>
        <v>0</v>
      </c>
      <c r="Q7" s="482">
        <f>'11'!G14</f>
        <v>0</v>
      </c>
      <c r="R7" s="482">
        <f>'12'!G14</f>
        <v>0</v>
      </c>
      <c r="S7" s="482">
        <f>'13'!G14</f>
        <v>0</v>
      </c>
      <c r="T7" s="482">
        <f>'14'!G14</f>
        <v>0</v>
      </c>
      <c r="U7" s="482">
        <f>'15'!G14</f>
        <v>0</v>
      </c>
      <c r="V7" s="482">
        <f>'16'!G14</f>
        <v>0</v>
      </c>
      <c r="W7" s="482">
        <f>'17'!G14</f>
        <v>0</v>
      </c>
      <c r="X7" s="482">
        <f>'18'!G14</f>
        <v>0</v>
      </c>
      <c r="Y7" s="482">
        <f>'19'!G14</f>
        <v>0</v>
      </c>
      <c r="Z7" s="482">
        <f>'20'!G14</f>
        <v>0</v>
      </c>
      <c r="AA7" s="482">
        <f>'21'!G14</f>
        <v>0</v>
      </c>
      <c r="AB7" s="482">
        <f>'22'!G14</f>
        <v>0</v>
      </c>
      <c r="AC7" s="482">
        <f>'23'!G14</f>
        <v>0</v>
      </c>
      <c r="AD7" s="482">
        <f>'24'!G14</f>
        <v>0</v>
      </c>
      <c r="AE7" s="482">
        <f>'25'!G14</f>
        <v>0</v>
      </c>
      <c r="AF7" s="354"/>
      <c r="AG7" s="463"/>
    </row>
    <row r="8" spans="2:33" x14ac:dyDescent="0.2">
      <c r="B8" s="83"/>
      <c r="C8" s="84"/>
      <c r="D8" s="84"/>
      <c r="E8" s="84"/>
      <c r="F8" s="84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7"/>
    </row>
    <row r="9" spans="2:33" x14ac:dyDescent="0.2">
      <c r="B9" s="83"/>
      <c r="C9" s="84"/>
      <c r="D9" s="85"/>
      <c r="E9" s="85"/>
      <c r="F9" s="85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7"/>
    </row>
    <row r="10" spans="2:33" x14ac:dyDescent="0.2">
      <c r="B10" s="83"/>
      <c r="C10" s="126"/>
      <c r="D10" s="127"/>
      <c r="E10" s="127"/>
      <c r="F10" s="127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2"/>
      <c r="AG10" s="87"/>
    </row>
    <row r="11" spans="2:33" x14ac:dyDescent="0.2">
      <c r="B11" s="83"/>
      <c r="C11" s="130"/>
      <c r="D11" s="483" t="s">
        <v>89</v>
      </c>
      <c r="E11" s="399"/>
      <c r="F11" s="137"/>
      <c r="G11" s="604" t="e">
        <f>'1'!#REF!</f>
        <v>#REF!</v>
      </c>
      <c r="H11" s="604" t="e">
        <f>'2'!#REF!</f>
        <v>#REF!</v>
      </c>
      <c r="I11" s="604" t="e">
        <f>'3'!#REF!</f>
        <v>#REF!</v>
      </c>
      <c r="J11" s="604" t="e">
        <f>'4'!#REF!</f>
        <v>#REF!</v>
      </c>
      <c r="K11" s="604" t="e">
        <f>'5'!#REF!</f>
        <v>#REF!</v>
      </c>
      <c r="L11" s="604" t="e">
        <f>'6'!#REF!</f>
        <v>#REF!</v>
      </c>
      <c r="M11" s="604" t="e">
        <f>'7'!#REF!</f>
        <v>#REF!</v>
      </c>
      <c r="N11" s="604" t="e">
        <f>'8'!#REF!</f>
        <v>#REF!</v>
      </c>
      <c r="O11" s="604" t="e">
        <f>'9'!#REF!</f>
        <v>#REF!</v>
      </c>
      <c r="P11" s="604" t="e">
        <f>'10'!#REF!</f>
        <v>#REF!</v>
      </c>
      <c r="Q11" s="604" t="e">
        <f>'11'!#REF!</f>
        <v>#REF!</v>
      </c>
      <c r="R11" s="604" t="e">
        <f>'12'!#REF!</f>
        <v>#REF!</v>
      </c>
      <c r="S11" s="604" t="e">
        <f>'13'!#REF!</f>
        <v>#REF!</v>
      </c>
      <c r="T11" s="604" t="e">
        <f>'14'!#REF!</f>
        <v>#REF!</v>
      </c>
      <c r="U11" s="604" t="e">
        <f>'15'!#REF!</f>
        <v>#REF!</v>
      </c>
      <c r="V11" s="604" t="e">
        <f>'16'!#REF!</f>
        <v>#REF!</v>
      </c>
      <c r="W11" s="604" t="e">
        <f>'17'!#REF!</f>
        <v>#REF!</v>
      </c>
      <c r="X11" s="604" t="e">
        <f>'18'!#REF!</f>
        <v>#REF!</v>
      </c>
      <c r="Y11" s="604" t="e">
        <f>'19'!#REF!</f>
        <v>#REF!</v>
      </c>
      <c r="Z11" s="604" t="e">
        <f>'20'!#REF!</f>
        <v>#REF!</v>
      </c>
      <c r="AA11" s="604" t="e">
        <f>'21'!#REF!</f>
        <v>#REF!</v>
      </c>
      <c r="AB11" s="604" t="e">
        <f>'22'!#REF!</f>
        <v>#REF!</v>
      </c>
      <c r="AC11" s="604" t="e">
        <f>'23'!#REF!</f>
        <v>#REF!</v>
      </c>
      <c r="AD11" s="604" t="e">
        <f>'24'!#REF!</f>
        <v>#REF!</v>
      </c>
      <c r="AE11" s="604" t="e">
        <f>'25'!#REF!</f>
        <v>#REF!</v>
      </c>
      <c r="AF11" s="139"/>
      <c r="AG11" s="87"/>
    </row>
    <row r="12" spans="2:33" x14ac:dyDescent="0.2">
      <c r="B12" s="83"/>
      <c r="C12" s="130"/>
      <c r="D12" s="137"/>
      <c r="E12" s="137"/>
      <c r="F12" s="137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87"/>
    </row>
    <row r="13" spans="2:33" x14ac:dyDescent="0.2">
      <c r="B13" s="83"/>
      <c r="C13" s="84"/>
      <c r="D13" s="84"/>
      <c r="E13" s="84"/>
      <c r="F13" s="84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7"/>
    </row>
    <row r="14" spans="2:33" x14ac:dyDescent="0.2">
      <c r="B14" s="83"/>
      <c r="C14" s="126"/>
      <c r="D14" s="127"/>
      <c r="E14" s="127"/>
      <c r="F14" s="127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9"/>
      <c r="AF14" s="129"/>
      <c r="AG14" s="87"/>
    </row>
    <row r="15" spans="2:33" x14ac:dyDescent="0.2">
      <c r="B15" s="83"/>
      <c r="C15" s="130"/>
      <c r="D15" s="484" t="s">
        <v>96</v>
      </c>
      <c r="E15" s="148"/>
      <c r="F15" s="132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4"/>
      <c r="AF15" s="134"/>
      <c r="AG15" s="87"/>
    </row>
    <row r="16" spans="2:33" x14ac:dyDescent="0.2">
      <c r="B16" s="83"/>
      <c r="C16" s="130"/>
      <c r="D16" s="132"/>
      <c r="E16" s="132"/>
      <c r="F16" s="132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4"/>
      <c r="AF16" s="134"/>
      <c r="AG16" s="87"/>
    </row>
    <row r="17" spans="2:33" x14ac:dyDescent="0.2">
      <c r="B17" s="83"/>
      <c r="C17" s="130"/>
      <c r="D17" s="131" t="s">
        <v>4</v>
      </c>
      <c r="E17" s="131"/>
      <c r="F17" s="131"/>
      <c r="G17" s="357" t="e">
        <f>'1'!#REF!</f>
        <v>#REF!</v>
      </c>
      <c r="H17" s="357" t="e">
        <f>'2'!#REF!</f>
        <v>#REF!</v>
      </c>
      <c r="I17" s="357" t="e">
        <f>'3'!#REF!</f>
        <v>#REF!</v>
      </c>
      <c r="J17" s="357" t="e">
        <f>'4'!#REF!</f>
        <v>#REF!</v>
      </c>
      <c r="K17" s="357" t="e">
        <f>'5'!#REF!</f>
        <v>#REF!</v>
      </c>
      <c r="L17" s="357" t="e">
        <f>'6'!#REF!</f>
        <v>#REF!</v>
      </c>
      <c r="M17" s="357" t="e">
        <f>'7'!#REF!</f>
        <v>#REF!</v>
      </c>
      <c r="N17" s="357" t="e">
        <f>'8'!#REF!</f>
        <v>#REF!</v>
      </c>
      <c r="O17" s="357" t="e">
        <f>'9'!#REF!</f>
        <v>#REF!</v>
      </c>
      <c r="P17" s="357" t="e">
        <f>'10'!#REF!</f>
        <v>#REF!</v>
      </c>
      <c r="Q17" s="357" t="e">
        <f>'11'!#REF!</f>
        <v>#REF!</v>
      </c>
      <c r="R17" s="357" t="e">
        <f>'12'!#REF!</f>
        <v>#REF!</v>
      </c>
      <c r="S17" s="357" t="e">
        <f>'13'!#REF!</f>
        <v>#REF!</v>
      </c>
      <c r="T17" s="357" t="e">
        <f>'14'!#REF!</f>
        <v>#REF!</v>
      </c>
      <c r="U17" s="357" t="e">
        <f>'15'!#REF!</f>
        <v>#REF!</v>
      </c>
      <c r="V17" s="357" t="e">
        <f>'16'!#REF!</f>
        <v>#REF!</v>
      </c>
      <c r="W17" s="357" t="e">
        <f>'17'!#REF!</f>
        <v>#REF!</v>
      </c>
      <c r="X17" s="357" t="e">
        <f>'18'!#REF!</f>
        <v>#REF!</v>
      </c>
      <c r="Y17" s="357" t="e">
        <f>'19'!#REF!</f>
        <v>#REF!</v>
      </c>
      <c r="Z17" s="357" t="e">
        <f>'20'!#REF!</f>
        <v>#REF!</v>
      </c>
      <c r="AA17" s="357" t="e">
        <f>'21'!#REF!</f>
        <v>#REF!</v>
      </c>
      <c r="AB17" s="357" t="e">
        <f>'22'!#REF!</f>
        <v>#REF!</v>
      </c>
      <c r="AC17" s="357" t="e">
        <f>'23'!#REF!</f>
        <v>#REF!</v>
      </c>
      <c r="AD17" s="357" t="e">
        <f>'24'!#REF!</f>
        <v>#REF!</v>
      </c>
      <c r="AE17" s="357" t="e">
        <f>'25'!#REF!</f>
        <v>#REF!</v>
      </c>
      <c r="AF17" s="140"/>
      <c r="AG17" s="87"/>
    </row>
    <row r="18" spans="2:33" x14ac:dyDescent="0.2">
      <c r="B18" s="83"/>
      <c r="C18" s="130"/>
      <c r="D18" s="131" t="s">
        <v>5</v>
      </c>
      <c r="E18" s="131"/>
      <c r="F18" s="131"/>
      <c r="G18" s="357" t="e">
        <f>'1'!#REF!</f>
        <v>#REF!</v>
      </c>
      <c r="H18" s="357" t="e">
        <f>'2'!#REF!</f>
        <v>#REF!</v>
      </c>
      <c r="I18" s="357" t="e">
        <f>'3'!#REF!</f>
        <v>#REF!</v>
      </c>
      <c r="J18" s="357" t="e">
        <f>'4'!#REF!</f>
        <v>#REF!</v>
      </c>
      <c r="K18" s="357" t="e">
        <f>'5'!#REF!</f>
        <v>#REF!</v>
      </c>
      <c r="L18" s="357" t="e">
        <f>'6'!#REF!</f>
        <v>#REF!</v>
      </c>
      <c r="M18" s="357" t="e">
        <f>'7'!#REF!</f>
        <v>#REF!</v>
      </c>
      <c r="N18" s="357" t="e">
        <f>'8'!#REF!</f>
        <v>#REF!</v>
      </c>
      <c r="O18" s="357" t="e">
        <f>'9'!#REF!</f>
        <v>#REF!</v>
      </c>
      <c r="P18" s="357" t="e">
        <f>'10'!#REF!</f>
        <v>#REF!</v>
      </c>
      <c r="Q18" s="357" t="e">
        <f>'11'!#REF!</f>
        <v>#REF!</v>
      </c>
      <c r="R18" s="357" t="e">
        <f>'12'!#REF!</f>
        <v>#REF!</v>
      </c>
      <c r="S18" s="357" t="e">
        <f>'13'!#REF!</f>
        <v>#REF!</v>
      </c>
      <c r="T18" s="357" t="e">
        <f>'14'!#REF!</f>
        <v>#REF!</v>
      </c>
      <c r="U18" s="357" t="e">
        <f>'15'!#REF!</f>
        <v>#REF!</v>
      </c>
      <c r="V18" s="357" t="e">
        <f>'16'!#REF!</f>
        <v>#REF!</v>
      </c>
      <c r="W18" s="357" t="e">
        <f>'17'!#REF!</f>
        <v>#REF!</v>
      </c>
      <c r="X18" s="357" t="e">
        <f>'18'!#REF!</f>
        <v>#REF!</v>
      </c>
      <c r="Y18" s="357" t="e">
        <f>'19'!#REF!</f>
        <v>#REF!</v>
      </c>
      <c r="Z18" s="357" t="e">
        <f>'20'!#REF!</f>
        <v>#REF!</v>
      </c>
      <c r="AA18" s="357" t="e">
        <f>'21'!#REF!</f>
        <v>#REF!</v>
      </c>
      <c r="AB18" s="357" t="e">
        <f>'22'!#REF!</f>
        <v>#REF!</v>
      </c>
      <c r="AC18" s="357" t="e">
        <f>'23'!#REF!</f>
        <v>#REF!</v>
      </c>
      <c r="AD18" s="357" t="e">
        <f>'24'!#REF!</f>
        <v>#REF!</v>
      </c>
      <c r="AE18" s="357" t="e">
        <f>'25'!#REF!</f>
        <v>#REF!</v>
      </c>
      <c r="AF18" s="140"/>
      <c r="AG18" s="87"/>
    </row>
    <row r="19" spans="2:33" x14ac:dyDescent="0.2">
      <c r="B19" s="83"/>
      <c r="C19" s="130"/>
      <c r="D19" s="141" t="s">
        <v>30</v>
      </c>
      <c r="E19" s="141"/>
      <c r="F19" s="141"/>
      <c r="G19" s="355" t="e">
        <f>G17+G18</f>
        <v>#REF!</v>
      </c>
      <c r="H19" s="355" t="e">
        <f>H17+H18</f>
        <v>#REF!</v>
      </c>
      <c r="I19" s="355" t="e">
        <f>I17+I18</f>
        <v>#REF!</v>
      </c>
      <c r="J19" s="355" t="e">
        <f t="shared" ref="J19:AE19" si="0">J17+J18</f>
        <v>#REF!</v>
      </c>
      <c r="K19" s="355" t="e">
        <f t="shared" si="0"/>
        <v>#REF!</v>
      </c>
      <c r="L19" s="355" t="e">
        <f t="shared" si="0"/>
        <v>#REF!</v>
      </c>
      <c r="M19" s="355" t="e">
        <f t="shared" si="0"/>
        <v>#REF!</v>
      </c>
      <c r="N19" s="355" t="e">
        <f t="shared" si="0"/>
        <v>#REF!</v>
      </c>
      <c r="O19" s="355" t="e">
        <f t="shared" si="0"/>
        <v>#REF!</v>
      </c>
      <c r="P19" s="355" t="e">
        <f t="shared" si="0"/>
        <v>#REF!</v>
      </c>
      <c r="Q19" s="355" t="e">
        <f t="shared" si="0"/>
        <v>#REF!</v>
      </c>
      <c r="R19" s="355" t="e">
        <f t="shared" si="0"/>
        <v>#REF!</v>
      </c>
      <c r="S19" s="355" t="e">
        <f t="shared" si="0"/>
        <v>#REF!</v>
      </c>
      <c r="T19" s="355" t="e">
        <f t="shared" si="0"/>
        <v>#REF!</v>
      </c>
      <c r="U19" s="355" t="e">
        <f t="shared" si="0"/>
        <v>#REF!</v>
      </c>
      <c r="V19" s="355" t="e">
        <f t="shared" si="0"/>
        <v>#REF!</v>
      </c>
      <c r="W19" s="355" t="e">
        <f t="shared" si="0"/>
        <v>#REF!</v>
      </c>
      <c r="X19" s="355" t="e">
        <f t="shared" si="0"/>
        <v>#REF!</v>
      </c>
      <c r="Y19" s="355" t="e">
        <f t="shared" si="0"/>
        <v>#REF!</v>
      </c>
      <c r="Z19" s="355" t="e">
        <f t="shared" si="0"/>
        <v>#REF!</v>
      </c>
      <c r="AA19" s="355" t="e">
        <f t="shared" si="0"/>
        <v>#REF!</v>
      </c>
      <c r="AB19" s="355" t="e">
        <f t="shared" si="0"/>
        <v>#REF!</v>
      </c>
      <c r="AC19" s="355" t="e">
        <f t="shared" si="0"/>
        <v>#REF!</v>
      </c>
      <c r="AD19" s="355" t="e">
        <f t="shared" si="0"/>
        <v>#REF!</v>
      </c>
      <c r="AE19" s="355" t="e">
        <f t="shared" si="0"/>
        <v>#REF!</v>
      </c>
      <c r="AF19" s="143"/>
      <c r="AG19" s="87"/>
    </row>
    <row r="20" spans="2:33" x14ac:dyDescent="0.2">
      <c r="B20" s="83"/>
      <c r="C20" s="130"/>
      <c r="D20" s="131" t="s">
        <v>29</v>
      </c>
      <c r="E20" s="238">
        <v>0.3</v>
      </c>
      <c r="F20" s="145"/>
      <c r="G20" s="357" t="e">
        <f>'1'!#REF!</f>
        <v>#REF!</v>
      </c>
      <c r="H20" s="357" t="e">
        <f>'2'!#REF!</f>
        <v>#REF!</v>
      </c>
      <c r="I20" s="357" t="e">
        <f>'3'!#REF!</f>
        <v>#REF!</v>
      </c>
      <c r="J20" s="357" t="e">
        <f>'4'!#REF!</f>
        <v>#REF!</v>
      </c>
      <c r="K20" s="357" t="e">
        <f>'5'!#REF!</f>
        <v>#REF!</v>
      </c>
      <c r="L20" s="357" t="e">
        <f>'6'!#REF!</f>
        <v>#REF!</v>
      </c>
      <c r="M20" s="357" t="e">
        <f>'7'!#REF!</f>
        <v>#REF!</v>
      </c>
      <c r="N20" s="357" t="e">
        <f>'8'!#REF!</f>
        <v>#REF!</v>
      </c>
      <c r="O20" s="357" t="e">
        <f>'9'!#REF!</f>
        <v>#REF!</v>
      </c>
      <c r="P20" s="357" t="e">
        <f>'10'!#REF!</f>
        <v>#REF!</v>
      </c>
      <c r="Q20" s="357" t="e">
        <f>'11'!#REF!</f>
        <v>#REF!</v>
      </c>
      <c r="R20" s="357" t="e">
        <f>'12'!#REF!</f>
        <v>#REF!</v>
      </c>
      <c r="S20" s="357" t="e">
        <f>'13'!#REF!</f>
        <v>#REF!</v>
      </c>
      <c r="T20" s="357" t="e">
        <f>'14'!#REF!</f>
        <v>#REF!</v>
      </c>
      <c r="U20" s="357" t="e">
        <f>'15'!#REF!</f>
        <v>#REF!</v>
      </c>
      <c r="V20" s="357" t="e">
        <f>'16'!#REF!</f>
        <v>#REF!</v>
      </c>
      <c r="W20" s="357" t="e">
        <f>'17'!#REF!</f>
        <v>#REF!</v>
      </c>
      <c r="X20" s="357" t="e">
        <f>'18'!#REF!</f>
        <v>#REF!</v>
      </c>
      <c r="Y20" s="357" t="e">
        <f>'19'!#REF!</f>
        <v>#REF!</v>
      </c>
      <c r="Z20" s="357" t="e">
        <f>'20'!#REF!</f>
        <v>#REF!</v>
      </c>
      <c r="AA20" s="357" t="e">
        <f>'21'!#REF!</f>
        <v>#REF!</v>
      </c>
      <c r="AB20" s="357" t="e">
        <f>'22'!#REF!</f>
        <v>#REF!</v>
      </c>
      <c r="AC20" s="357" t="e">
        <f>'23'!#REF!</f>
        <v>#REF!</v>
      </c>
      <c r="AD20" s="357" t="e">
        <f>'24'!#REF!</f>
        <v>#REF!</v>
      </c>
      <c r="AE20" s="357" t="e">
        <f>'25'!#REF!</f>
        <v>#REF!</v>
      </c>
      <c r="AF20" s="140"/>
      <c r="AG20" s="87"/>
    </row>
    <row r="21" spans="2:33" x14ac:dyDescent="0.2">
      <c r="B21" s="83"/>
      <c r="C21" s="130"/>
      <c r="D21" s="131" t="s">
        <v>29</v>
      </c>
      <c r="E21" s="238">
        <v>1.2</v>
      </c>
      <c r="F21" s="145"/>
      <c r="G21" s="357" t="e">
        <f>'1'!#REF!</f>
        <v>#REF!</v>
      </c>
      <c r="H21" s="357" t="e">
        <f>'2'!#REF!</f>
        <v>#REF!</v>
      </c>
      <c r="I21" s="357" t="e">
        <f>'3'!#REF!</f>
        <v>#REF!</v>
      </c>
      <c r="J21" s="357" t="e">
        <f>'4'!#REF!</f>
        <v>#REF!</v>
      </c>
      <c r="K21" s="357" t="e">
        <f>'5'!#REF!</f>
        <v>#REF!</v>
      </c>
      <c r="L21" s="357" t="e">
        <f>'6'!#REF!</f>
        <v>#REF!</v>
      </c>
      <c r="M21" s="357" t="e">
        <f>'7'!#REF!</f>
        <v>#REF!</v>
      </c>
      <c r="N21" s="357" t="e">
        <f>'8'!#REF!</f>
        <v>#REF!</v>
      </c>
      <c r="O21" s="357" t="e">
        <f>'9'!#REF!</f>
        <v>#REF!</v>
      </c>
      <c r="P21" s="357" t="e">
        <f>'10'!#REF!</f>
        <v>#REF!</v>
      </c>
      <c r="Q21" s="357" t="e">
        <f>'11'!#REF!</f>
        <v>#REF!</v>
      </c>
      <c r="R21" s="357" t="e">
        <f>'12'!#REF!</f>
        <v>#REF!</v>
      </c>
      <c r="S21" s="357" t="e">
        <f>'13'!#REF!</f>
        <v>#REF!</v>
      </c>
      <c r="T21" s="357" t="e">
        <f>'14'!#REF!</f>
        <v>#REF!</v>
      </c>
      <c r="U21" s="357" t="e">
        <f>'15'!#REF!</f>
        <v>#REF!</v>
      </c>
      <c r="V21" s="357" t="e">
        <f>'16'!#REF!</f>
        <v>#REF!</v>
      </c>
      <c r="W21" s="357" t="e">
        <f>'17'!#REF!</f>
        <v>#REF!</v>
      </c>
      <c r="X21" s="357" t="e">
        <f>'18'!#REF!</f>
        <v>#REF!</v>
      </c>
      <c r="Y21" s="357" t="e">
        <f>'19'!#REF!</f>
        <v>#REF!</v>
      </c>
      <c r="Z21" s="357" t="e">
        <f>'20'!#REF!</f>
        <v>#REF!</v>
      </c>
      <c r="AA21" s="357" t="e">
        <f>'21'!#REF!</f>
        <v>#REF!</v>
      </c>
      <c r="AB21" s="357" t="e">
        <f>'22'!#REF!</f>
        <v>#REF!</v>
      </c>
      <c r="AC21" s="357" t="e">
        <f>'23'!#REF!</f>
        <v>#REF!</v>
      </c>
      <c r="AD21" s="357" t="e">
        <f>'24'!#REF!</f>
        <v>#REF!</v>
      </c>
      <c r="AE21" s="357" t="e">
        <f>'25'!#REF!</f>
        <v>#REF!</v>
      </c>
      <c r="AF21" s="140"/>
      <c r="AG21" s="87"/>
    </row>
    <row r="22" spans="2:33" ht="13.9" customHeight="1" x14ac:dyDescent="0.2">
      <c r="B22" s="83"/>
      <c r="C22" s="130"/>
      <c r="D22" s="131" t="s">
        <v>69</v>
      </c>
      <c r="E22" s="238"/>
      <c r="F22" s="145"/>
      <c r="G22" s="357" t="e">
        <f>'1'!#REF!</f>
        <v>#REF!</v>
      </c>
      <c r="H22" s="357" t="e">
        <f>'2'!#REF!</f>
        <v>#REF!</v>
      </c>
      <c r="I22" s="357" t="e">
        <f>'3'!#REF!</f>
        <v>#REF!</v>
      </c>
      <c r="J22" s="357" t="e">
        <f>'4'!#REF!</f>
        <v>#REF!</v>
      </c>
      <c r="K22" s="357" t="e">
        <f>'5'!#REF!</f>
        <v>#REF!</v>
      </c>
      <c r="L22" s="357" t="e">
        <f>'6'!#REF!</f>
        <v>#REF!</v>
      </c>
      <c r="M22" s="357" t="e">
        <f>'7'!#REF!</f>
        <v>#REF!</v>
      </c>
      <c r="N22" s="357" t="e">
        <f>'8'!#REF!</f>
        <v>#REF!</v>
      </c>
      <c r="O22" s="357" t="e">
        <f>'9'!#REF!</f>
        <v>#REF!</v>
      </c>
      <c r="P22" s="357" t="e">
        <f>'10'!#REF!</f>
        <v>#REF!</v>
      </c>
      <c r="Q22" s="357" t="e">
        <f>'11'!#REF!</f>
        <v>#REF!</v>
      </c>
      <c r="R22" s="357" t="e">
        <f>'12'!#REF!</f>
        <v>#REF!</v>
      </c>
      <c r="S22" s="357" t="e">
        <f>'13'!#REF!</f>
        <v>#REF!</v>
      </c>
      <c r="T22" s="357" t="e">
        <f>'14'!#REF!</f>
        <v>#REF!</v>
      </c>
      <c r="U22" s="357" t="e">
        <f>'15'!#REF!</f>
        <v>#REF!</v>
      </c>
      <c r="V22" s="357" t="e">
        <f>'16'!#REF!</f>
        <v>#REF!</v>
      </c>
      <c r="W22" s="357" t="e">
        <f>'17'!#REF!</f>
        <v>#REF!</v>
      </c>
      <c r="X22" s="357" t="e">
        <f>'18'!#REF!</f>
        <v>#REF!</v>
      </c>
      <c r="Y22" s="357" t="e">
        <f>'19'!#REF!</f>
        <v>#REF!</v>
      </c>
      <c r="Z22" s="357" t="e">
        <f>'20'!#REF!</f>
        <v>#REF!</v>
      </c>
      <c r="AA22" s="357" t="e">
        <f>'21'!#REF!</f>
        <v>#REF!</v>
      </c>
      <c r="AB22" s="357" t="e">
        <f>'22'!#REF!</f>
        <v>#REF!</v>
      </c>
      <c r="AC22" s="357" t="e">
        <f>'23'!#REF!</f>
        <v>#REF!</v>
      </c>
      <c r="AD22" s="357" t="e">
        <f>'24'!#REF!</f>
        <v>#REF!</v>
      </c>
      <c r="AE22" s="357" t="e">
        <f>'25'!#REF!</f>
        <v>#REF!</v>
      </c>
      <c r="AF22" s="140"/>
      <c r="AG22" s="87"/>
    </row>
    <row r="23" spans="2:33" x14ac:dyDescent="0.2">
      <c r="B23" s="96"/>
      <c r="C23" s="147"/>
      <c r="D23" s="131" t="s">
        <v>152</v>
      </c>
      <c r="E23" s="131"/>
      <c r="F23" s="131"/>
      <c r="G23" s="357" t="e">
        <f>'1'!#REF!</f>
        <v>#REF!</v>
      </c>
      <c r="H23" s="357" t="e">
        <f>'2'!#REF!</f>
        <v>#REF!</v>
      </c>
      <c r="I23" s="357" t="e">
        <f>'3'!#REF!</f>
        <v>#REF!</v>
      </c>
      <c r="J23" s="357" t="e">
        <f>'4'!#REF!</f>
        <v>#REF!</v>
      </c>
      <c r="K23" s="357" t="e">
        <f>'5'!#REF!</f>
        <v>#REF!</v>
      </c>
      <c r="L23" s="357" t="e">
        <f>'6'!#REF!</f>
        <v>#REF!</v>
      </c>
      <c r="M23" s="357" t="e">
        <f>'7'!#REF!</f>
        <v>#REF!</v>
      </c>
      <c r="N23" s="357" t="e">
        <f>'8'!#REF!</f>
        <v>#REF!</v>
      </c>
      <c r="O23" s="357" t="e">
        <f>'9'!#REF!</f>
        <v>#REF!</v>
      </c>
      <c r="P23" s="357" t="e">
        <f>'10'!#REF!</f>
        <v>#REF!</v>
      </c>
      <c r="Q23" s="357" t="e">
        <f>'11'!#REF!</f>
        <v>#REF!</v>
      </c>
      <c r="R23" s="357" t="e">
        <f>'12'!#REF!</f>
        <v>#REF!</v>
      </c>
      <c r="S23" s="357" t="e">
        <f>'13'!#REF!</f>
        <v>#REF!</v>
      </c>
      <c r="T23" s="357" t="e">
        <f>'14'!#REF!</f>
        <v>#REF!</v>
      </c>
      <c r="U23" s="357" t="e">
        <f>'15'!#REF!</f>
        <v>#REF!</v>
      </c>
      <c r="V23" s="357" t="e">
        <f>'16'!#REF!</f>
        <v>#REF!</v>
      </c>
      <c r="W23" s="357" t="e">
        <f>'17'!#REF!</f>
        <v>#REF!</v>
      </c>
      <c r="X23" s="357" t="e">
        <f>'18'!#REF!</f>
        <v>#REF!</v>
      </c>
      <c r="Y23" s="357" t="e">
        <f>'19'!#REF!</f>
        <v>#REF!</v>
      </c>
      <c r="Z23" s="357" t="e">
        <f>'20'!#REF!</f>
        <v>#REF!</v>
      </c>
      <c r="AA23" s="357" t="e">
        <f>'21'!#REF!</f>
        <v>#REF!</v>
      </c>
      <c r="AB23" s="357" t="e">
        <f>'22'!#REF!</f>
        <v>#REF!</v>
      </c>
      <c r="AC23" s="357" t="e">
        <f>'23'!#REF!</f>
        <v>#REF!</v>
      </c>
      <c r="AD23" s="357" t="e">
        <f>'24'!#REF!</f>
        <v>#REF!</v>
      </c>
      <c r="AE23" s="357" t="e">
        <f>'25'!#REF!</f>
        <v>#REF!</v>
      </c>
      <c r="AF23" s="143"/>
      <c r="AG23" s="98"/>
    </row>
    <row r="24" spans="2:33" x14ac:dyDescent="0.2">
      <c r="B24" s="96"/>
      <c r="C24" s="198"/>
      <c r="D24" s="190"/>
      <c r="E24" s="190"/>
      <c r="F24" s="190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3"/>
      <c r="AF24" s="223"/>
      <c r="AG24" s="98"/>
    </row>
    <row r="25" spans="2:33" x14ac:dyDescent="0.2">
      <c r="B25" s="83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7"/>
    </row>
    <row r="26" spans="2:33" x14ac:dyDescent="0.2">
      <c r="B26" s="83"/>
      <c r="C26" s="126"/>
      <c r="D26" s="158"/>
      <c r="E26" s="158"/>
      <c r="F26" s="127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228"/>
      <c r="AF26" s="160"/>
      <c r="AG26" s="87"/>
    </row>
    <row r="27" spans="2:33" x14ac:dyDescent="0.2">
      <c r="B27" s="83"/>
      <c r="C27" s="130"/>
      <c r="D27" s="488" t="s">
        <v>217</v>
      </c>
      <c r="E27" s="141"/>
      <c r="F27" s="136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6"/>
      <c r="AG27" s="87"/>
    </row>
    <row r="28" spans="2:33" x14ac:dyDescent="0.2">
      <c r="B28" s="83"/>
      <c r="C28" s="130"/>
      <c r="D28" s="141"/>
      <c r="E28" s="141"/>
      <c r="F28" s="136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6"/>
      <c r="AG28" s="87"/>
    </row>
    <row r="29" spans="2:33" x14ac:dyDescent="0.2">
      <c r="B29" s="83"/>
      <c r="C29" s="130"/>
      <c r="D29" s="170" t="s">
        <v>190</v>
      </c>
      <c r="E29" s="141"/>
      <c r="F29" s="136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6"/>
      <c r="AG29" s="87"/>
    </row>
    <row r="30" spans="2:33" x14ac:dyDescent="0.2">
      <c r="B30" s="83"/>
      <c r="C30" s="130"/>
      <c r="D30" s="131" t="s">
        <v>187</v>
      </c>
      <c r="E30" s="131"/>
      <c r="F30" s="136"/>
      <c r="G30" s="438" t="e">
        <f>'1'!#REF!</f>
        <v>#REF!</v>
      </c>
      <c r="H30" s="438" t="e">
        <f>'2'!#REF!</f>
        <v>#REF!</v>
      </c>
      <c r="I30" s="438" t="e">
        <f>'3'!#REF!</f>
        <v>#REF!</v>
      </c>
      <c r="J30" s="438" t="e">
        <f>'4'!#REF!</f>
        <v>#REF!</v>
      </c>
      <c r="K30" s="438" t="e">
        <f>'5'!#REF!</f>
        <v>#REF!</v>
      </c>
      <c r="L30" s="438" t="e">
        <f>'6'!#REF!</f>
        <v>#REF!</v>
      </c>
      <c r="M30" s="438" t="e">
        <f>'7'!#REF!</f>
        <v>#REF!</v>
      </c>
      <c r="N30" s="438" t="e">
        <f>'8'!#REF!</f>
        <v>#REF!</v>
      </c>
      <c r="O30" s="438" t="e">
        <f>'9'!#REF!</f>
        <v>#REF!</v>
      </c>
      <c r="P30" s="438" t="e">
        <f>'10'!#REF!</f>
        <v>#REF!</v>
      </c>
      <c r="Q30" s="438" t="e">
        <f>'11'!#REF!</f>
        <v>#REF!</v>
      </c>
      <c r="R30" s="438" t="e">
        <f>'12'!#REF!</f>
        <v>#REF!</v>
      </c>
      <c r="S30" s="438" t="e">
        <f>'13'!#REF!</f>
        <v>#REF!</v>
      </c>
      <c r="T30" s="438" t="e">
        <f>'14'!#REF!</f>
        <v>#REF!</v>
      </c>
      <c r="U30" s="438" t="e">
        <f>'15'!#REF!</f>
        <v>#REF!</v>
      </c>
      <c r="V30" s="438" t="e">
        <f>'16'!#REF!</f>
        <v>#REF!</v>
      </c>
      <c r="W30" s="438" t="e">
        <f>'17'!#REF!</f>
        <v>#REF!</v>
      </c>
      <c r="X30" s="438" t="e">
        <f>'18'!#REF!</f>
        <v>#REF!</v>
      </c>
      <c r="Y30" s="438" t="e">
        <f>'19'!#REF!</f>
        <v>#REF!</v>
      </c>
      <c r="Z30" s="438" t="e">
        <f>'20'!#REF!</f>
        <v>#REF!</v>
      </c>
      <c r="AA30" s="438" t="e">
        <f>'21'!#REF!</f>
        <v>#REF!</v>
      </c>
      <c r="AB30" s="438" t="e">
        <f>'22'!#REF!</f>
        <v>#REF!</v>
      </c>
      <c r="AC30" s="438" t="e">
        <f>'23'!#REF!</f>
        <v>#REF!</v>
      </c>
      <c r="AD30" s="438" t="e">
        <f>'24'!#REF!</f>
        <v>#REF!</v>
      </c>
      <c r="AE30" s="438" t="e">
        <f>'25'!#REF!</f>
        <v>#REF!</v>
      </c>
      <c r="AF30" s="162"/>
      <c r="AG30" s="87"/>
    </row>
    <row r="31" spans="2:33" x14ac:dyDescent="0.2">
      <c r="B31" s="83"/>
      <c r="C31" s="130"/>
      <c r="D31" s="131" t="s">
        <v>186</v>
      </c>
      <c r="E31" s="131"/>
      <c r="F31" s="136"/>
      <c r="G31" s="438" t="e">
        <f>'1'!#REF!</f>
        <v>#REF!</v>
      </c>
      <c r="H31" s="438" t="e">
        <f>'2'!#REF!</f>
        <v>#REF!</v>
      </c>
      <c r="I31" s="438" t="e">
        <f>'3'!#REF!</f>
        <v>#REF!</v>
      </c>
      <c r="J31" s="438" t="e">
        <f>'4'!#REF!</f>
        <v>#REF!</v>
      </c>
      <c r="K31" s="438" t="e">
        <f>'5'!#REF!</f>
        <v>#REF!</v>
      </c>
      <c r="L31" s="438" t="e">
        <f>'6'!#REF!</f>
        <v>#REF!</v>
      </c>
      <c r="M31" s="438" t="e">
        <f>'7'!#REF!</f>
        <v>#REF!</v>
      </c>
      <c r="N31" s="438" t="e">
        <f>'8'!#REF!</f>
        <v>#REF!</v>
      </c>
      <c r="O31" s="438" t="e">
        <f>'9'!#REF!</f>
        <v>#REF!</v>
      </c>
      <c r="P31" s="438" t="e">
        <f>'10'!#REF!</f>
        <v>#REF!</v>
      </c>
      <c r="Q31" s="438" t="e">
        <f>'11'!#REF!</f>
        <v>#REF!</v>
      </c>
      <c r="R31" s="438" t="e">
        <f>'12'!#REF!</f>
        <v>#REF!</v>
      </c>
      <c r="S31" s="438" t="e">
        <f>'13'!#REF!</f>
        <v>#REF!</v>
      </c>
      <c r="T31" s="438" t="e">
        <f>'14'!#REF!</f>
        <v>#REF!</v>
      </c>
      <c r="U31" s="438" t="e">
        <f>'15'!#REF!</f>
        <v>#REF!</v>
      </c>
      <c r="V31" s="438" t="e">
        <f>'16'!#REF!</f>
        <v>#REF!</v>
      </c>
      <c r="W31" s="438" t="e">
        <f>'17'!#REF!</f>
        <v>#REF!</v>
      </c>
      <c r="X31" s="438" t="e">
        <f>'18'!#REF!</f>
        <v>#REF!</v>
      </c>
      <c r="Y31" s="438" t="e">
        <f>'19'!#REF!</f>
        <v>#REF!</v>
      </c>
      <c r="Z31" s="438" t="e">
        <f>'20'!#REF!</f>
        <v>#REF!</v>
      </c>
      <c r="AA31" s="438" t="e">
        <f>'21'!#REF!</f>
        <v>#REF!</v>
      </c>
      <c r="AB31" s="438" t="e">
        <f>'22'!#REF!</f>
        <v>#REF!</v>
      </c>
      <c r="AC31" s="438" t="e">
        <f>'23'!#REF!</f>
        <v>#REF!</v>
      </c>
      <c r="AD31" s="438" t="e">
        <f>'24'!#REF!</f>
        <v>#REF!</v>
      </c>
      <c r="AE31" s="438" t="e">
        <f>'25'!#REF!</f>
        <v>#REF!</v>
      </c>
      <c r="AF31" s="162"/>
      <c r="AG31" s="87"/>
    </row>
    <row r="32" spans="2:33" x14ac:dyDescent="0.2">
      <c r="B32" s="83"/>
      <c r="C32" s="163"/>
      <c r="D32" s="131" t="s">
        <v>188</v>
      </c>
      <c r="E32" s="131"/>
      <c r="F32" s="154"/>
      <c r="G32" s="438" t="e">
        <f>'1'!#REF!</f>
        <v>#REF!</v>
      </c>
      <c r="H32" s="438" t="e">
        <f>'2'!#REF!</f>
        <v>#REF!</v>
      </c>
      <c r="I32" s="438" t="e">
        <f>'3'!#REF!</f>
        <v>#REF!</v>
      </c>
      <c r="J32" s="438" t="e">
        <f>'4'!#REF!</f>
        <v>#REF!</v>
      </c>
      <c r="K32" s="438" t="e">
        <f>'5'!#REF!</f>
        <v>#REF!</v>
      </c>
      <c r="L32" s="438" t="e">
        <f>'6'!#REF!</f>
        <v>#REF!</v>
      </c>
      <c r="M32" s="438" t="e">
        <f>'7'!#REF!</f>
        <v>#REF!</v>
      </c>
      <c r="N32" s="438" t="e">
        <f>'8'!#REF!</f>
        <v>#REF!</v>
      </c>
      <c r="O32" s="438" t="e">
        <f>'9'!#REF!</f>
        <v>#REF!</v>
      </c>
      <c r="P32" s="438" t="e">
        <f>'10'!#REF!</f>
        <v>#REF!</v>
      </c>
      <c r="Q32" s="438" t="e">
        <f>'11'!#REF!</f>
        <v>#REF!</v>
      </c>
      <c r="R32" s="438" t="e">
        <f>'12'!#REF!</f>
        <v>#REF!</v>
      </c>
      <c r="S32" s="438" t="e">
        <f>'13'!#REF!</f>
        <v>#REF!</v>
      </c>
      <c r="T32" s="438" t="e">
        <f>'14'!#REF!</f>
        <v>#REF!</v>
      </c>
      <c r="U32" s="438" t="e">
        <f>'15'!#REF!</f>
        <v>#REF!</v>
      </c>
      <c r="V32" s="438" t="e">
        <f>'16'!#REF!</f>
        <v>#REF!</v>
      </c>
      <c r="W32" s="438" t="e">
        <f>'17'!#REF!</f>
        <v>#REF!</v>
      </c>
      <c r="X32" s="438" t="e">
        <f>'18'!#REF!</f>
        <v>#REF!</v>
      </c>
      <c r="Y32" s="438" t="e">
        <f>'19'!#REF!</f>
        <v>#REF!</v>
      </c>
      <c r="Z32" s="438" t="e">
        <f>'20'!#REF!</f>
        <v>#REF!</v>
      </c>
      <c r="AA32" s="438" t="e">
        <f>'21'!#REF!</f>
        <v>#REF!</v>
      </c>
      <c r="AB32" s="438" t="e">
        <f>'22'!#REF!</f>
        <v>#REF!</v>
      </c>
      <c r="AC32" s="438" t="e">
        <f>'23'!#REF!</f>
        <v>#REF!</v>
      </c>
      <c r="AD32" s="438" t="e">
        <f>'24'!#REF!</f>
        <v>#REF!</v>
      </c>
      <c r="AE32" s="438" t="e">
        <f>'25'!#REF!</f>
        <v>#REF!</v>
      </c>
      <c r="AF32" s="165"/>
      <c r="AG32" s="87"/>
    </row>
    <row r="33" spans="2:33" x14ac:dyDescent="0.2">
      <c r="B33" s="83"/>
      <c r="C33" s="163"/>
      <c r="D33" s="131" t="s">
        <v>209</v>
      </c>
      <c r="E33" s="131"/>
      <c r="F33" s="154"/>
      <c r="G33" s="438" t="e">
        <f>'1'!#REF!</f>
        <v>#REF!</v>
      </c>
      <c r="H33" s="438" t="e">
        <f>'2'!#REF!</f>
        <v>#REF!</v>
      </c>
      <c r="I33" s="438" t="e">
        <f>'3'!#REF!</f>
        <v>#REF!</v>
      </c>
      <c r="J33" s="438" t="e">
        <f>'4'!#REF!</f>
        <v>#REF!</v>
      </c>
      <c r="K33" s="438" t="e">
        <f>'5'!#REF!</f>
        <v>#REF!</v>
      </c>
      <c r="L33" s="438" t="e">
        <f>'6'!#REF!</f>
        <v>#REF!</v>
      </c>
      <c r="M33" s="438" t="e">
        <f>'7'!#REF!</f>
        <v>#REF!</v>
      </c>
      <c r="N33" s="438" t="e">
        <f>'8'!#REF!</f>
        <v>#REF!</v>
      </c>
      <c r="O33" s="438" t="e">
        <f>'9'!#REF!</f>
        <v>#REF!</v>
      </c>
      <c r="P33" s="438" t="e">
        <f>'10'!#REF!</f>
        <v>#REF!</v>
      </c>
      <c r="Q33" s="438" t="e">
        <f>'11'!#REF!</f>
        <v>#REF!</v>
      </c>
      <c r="R33" s="438" t="e">
        <f>'12'!#REF!</f>
        <v>#REF!</v>
      </c>
      <c r="S33" s="438" t="e">
        <f>'13'!#REF!</f>
        <v>#REF!</v>
      </c>
      <c r="T33" s="438" t="e">
        <f>'14'!#REF!</f>
        <v>#REF!</v>
      </c>
      <c r="U33" s="438" t="e">
        <f>'15'!#REF!</f>
        <v>#REF!</v>
      </c>
      <c r="V33" s="438" t="e">
        <f>'16'!#REF!</f>
        <v>#REF!</v>
      </c>
      <c r="W33" s="438" t="e">
        <f>'17'!#REF!</f>
        <v>#REF!</v>
      </c>
      <c r="X33" s="438" t="e">
        <f>'18'!#REF!</f>
        <v>#REF!</v>
      </c>
      <c r="Y33" s="438" t="e">
        <f>'19'!#REF!</f>
        <v>#REF!</v>
      </c>
      <c r="Z33" s="438" t="e">
        <f>'20'!#REF!</f>
        <v>#REF!</v>
      </c>
      <c r="AA33" s="438" t="e">
        <f>'21'!#REF!</f>
        <v>#REF!</v>
      </c>
      <c r="AB33" s="438" t="e">
        <f>'22'!#REF!</f>
        <v>#REF!</v>
      </c>
      <c r="AC33" s="438" t="e">
        <f>'23'!#REF!</f>
        <v>#REF!</v>
      </c>
      <c r="AD33" s="438" t="e">
        <f>'24'!#REF!</f>
        <v>#REF!</v>
      </c>
      <c r="AE33" s="438" t="e">
        <f>'25'!#REF!</f>
        <v>#REF!</v>
      </c>
      <c r="AF33" s="165"/>
      <c r="AG33" s="87"/>
    </row>
    <row r="34" spans="2:33" x14ac:dyDescent="0.2">
      <c r="B34" s="83"/>
      <c r="C34" s="130"/>
      <c r="D34" s="131" t="s">
        <v>185</v>
      </c>
      <c r="E34" s="131"/>
      <c r="F34" s="292"/>
      <c r="G34" s="438" t="e">
        <f>'1'!#REF!</f>
        <v>#REF!</v>
      </c>
      <c r="H34" s="438" t="e">
        <f>'2'!#REF!</f>
        <v>#REF!</v>
      </c>
      <c r="I34" s="438" t="e">
        <f>'3'!#REF!</f>
        <v>#REF!</v>
      </c>
      <c r="J34" s="438" t="e">
        <f>'4'!#REF!</f>
        <v>#REF!</v>
      </c>
      <c r="K34" s="438" t="e">
        <f>'5'!#REF!</f>
        <v>#REF!</v>
      </c>
      <c r="L34" s="438" t="e">
        <f>'6'!#REF!</f>
        <v>#REF!</v>
      </c>
      <c r="M34" s="438" t="e">
        <f>'7'!#REF!</f>
        <v>#REF!</v>
      </c>
      <c r="N34" s="438" t="e">
        <f>'8'!#REF!</f>
        <v>#REF!</v>
      </c>
      <c r="O34" s="438" t="e">
        <f>'9'!#REF!</f>
        <v>#REF!</v>
      </c>
      <c r="P34" s="438" t="e">
        <f>'10'!#REF!</f>
        <v>#REF!</v>
      </c>
      <c r="Q34" s="438" t="e">
        <f>'11'!#REF!</f>
        <v>#REF!</v>
      </c>
      <c r="R34" s="438" t="e">
        <f>'12'!#REF!</f>
        <v>#REF!</v>
      </c>
      <c r="S34" s="438" t="e">
        <f>'13'!#REF!</f>
        <v>#REF!</v>
      </c>
      <c r="T34" s="438" t="e">
        <f>'14'!#REF!</f>
        <v>#REF!</v>
      </c>
      <c r="U34" s="438" t="e">
        <f>'15'!#REF!</f>
        <v>#REF!</v>
      </c>
      <c r="V34" s="438" t="e">
        <f>'16'!#REF!</f>
        <v>#REF!</v>
      </c>
      <c r="W34" s="438" t="e">
        <f>'17'!#REF!</f>
        <v>#REF!</v>
      </c>
      <c r="X34" s="438" t="e">
        <f>'18'!#REF!</f>
        <v>#REF!</v>
      </c>
      <c r="Y34" s="438" t="e">
        <f>'19'!#REF!</f>
        <v>#REF!</v>
      </c>
      <c r="Z34" s="438" t="e">
        <f>'20'!#REF!</f>
        <v>#REF!</v>
      </c>
      <c r="AA34" s="438" t="e">
        <f>'21'!#REF!</f>
        <v>#REF!</v>
      </c>
      <c r="AB34" s="438" t="e">
        <f>'22'!#REF!</f>
        <v>#REF!</v>
      </c>
      <c r="AC34" s="438" t="e">
        <f>'23'!#REF!</f>
        <v>#REF!</v>
      </c>
      <c r="AD34" s="438" t="e">
        <f>'24'!#REF!</f>
        <v>#REF!</v>
      </c>
      <c r="AE34" s="438" t="e">
        <f>'25'!#REF!</f>
        <v>#REF!</v>
      </c>
      <c r="AF34" s="166"/>
      <c r="AG34" s="87"/>
    </row>
    <row r="35" spans="2:33" x14ac:dyDescent="0.2">
      <c r="B35" s="83"/>
      <c r="C35" s="147"/>
      <c r="D35" s="131" t="s">
        <v>46</v>
      </c>
      <c r="E35" s="131"/>
      <c r="F35" s="136"/>
      <c r="G35" s="438" t="e">
        <f>'1'!#REF!</f>
        <v>#REF!</v>
      </c>
      <c r="H35" s="438" t="e">
        <f>'2'!#REF!</f>
        <v>#REF!</v>
      </c>
      <c r="I35" s="438" t="e">
        <f>'3'!#REF!</f>
        <v>#REF!</v>
      </c>
      <c r="J35" s="438" t="e">
        <f>'4'!#REF!</f>
        <v>#REF!</v>
      </c>
      <c r="K35" s="438" t="e">
        <f>'5'!#REF!</f>
        <v>#REF!</v>
      </c>
      <c r="L35" s="438" t="e">
        <f>'6'!#REF!</f>
        <v>#REF!</v>
      </c>
      <c r="M35" s="438" t="e">
        <f>'7'!#REF!</f>
        <v>#REF!</v>
      </c>
      <c r="N35" s="438" t="e">
        <f>'8'!#REF!</f>
        <v>#REF!</v>
      </c>
      <c r="O35" s="438" t="e">
        <f>'9'!#REF!</f>
        <v>#REF!</v>
      </c>
      <c r="P35" s="438" t="e">
        <f>'10'!#REF!</f>
        <v>#REF!</v>
      </c>
      <c r="Q35" s="438" t="e">
        <f>'11'!#REF!</f>
        <v>#REF!</v>
      </c>
      <c r="R35" s="438" t="e">
        <f>'12'!#REF!</f>
        <v>#REF!</v>
      </c>
      <c r="S35" s="438" t="e">
        <f>'13'!#REF!</f>
        <v>#REF!</v>
      </c>
      <c r="T35" s="438" t="e">
        <f>'14'!#REF!</f>
        <v>#REF!</v>
      </c>
      <c r="U35" s="438" t="e">
        <f>'15'!#REF!</f>
        <v>#REF!</v>
      </c>
      <c r="V35" s="438" t="e">
        <f>'16'!#REF!</f>
        <v>#REF!</v>
      </c>
      <c r="W35" s="438" t="e">
        <f>'17'!#REF!</f>
        <v>#REF!</v>
      </c>
      <c r="X35" s="438" t="e">
        <f>'18'!#REF!</f>
        <v>#REF!</v>
      </c>
      <c r="Y35" s="438" t="e">
        <f>'19'!#REF!</f>
        <v>#REF!</v>
      </c>
      <c r="Z35" s="438" t="e">
        <f>'20'!#REF!</f>
        <v>#REF!</v>
      </c>
      <c r="AA35" s="438" t="e">
        <f>'21'!#REF!</f>
        <v>#REF!</v>
      </c>
      <c r="AB35" s="438" t="e">
        <f>'22'!#REF!</f>
        <v>#REF!</v>
      </c>
      <c r="AC35" s="438" t="e">
        <f>'23'!#REF!</f>
        <v>#REF!</v>
      </c>
      <c r="AD35" s="438" t="e">
        <f>'24'!#REF!</f>
        <v>#REF!</v>
      </c>
      <c r="AE35" s="438" t="e">
        <f>'25'!#REF!</f>
        <v>#REF!</v>
      </c>
      <c r="AF35" s="166"/>
      <c r="AG35" s="87"/>
    </row>
    <row r="36" spans="2:33" x14ac:dyDescent="0.2">
      <c r="B36" s="83"/>
      <c r="C36" s="147"/>
      <c r="D36" s="131" t="s">
        <v>189</v>
      </c>
      <c r="E36" s="131"/>
      <c r="F36" s="136"/>
      <c r="G36" s="438" t="e">
        <f>'1'!#REF!</f>
        <v>#REF!</v>
      </c>
      <c r="H36" s="438" t="e">
        <f>'2'!#REF!</f>
        <v>#REF!</v>
      </c>
      <c r="I36" s="438" t="e">
        <f>'3'!#REF!</f>
        <v>#REF!</v>
      </c>
      <c r="J36" s="438" t="e">
        <f>'4'!#REF!</f>
        <v>#REF!</v>
      </c>
      <c r="K36" s="438" t="e">
        <f>'5'!#REF!</f>
        <v>#REF!</v>
      </c>
      <c r="L36" s="438" t="e">
        <f>'6'!#REF!</f>
        <v>#REF!</v>
      </c>
      <c r="M36" s="438" t="e">
        <f>'7'!#REF!</f>
        <v>#REF!</v>
      </c>
      <c r="N36" s="438" t="e">
        <f>'8'!#REF!</f>
        <v>#REF!</v>
      </c>
      <c r="O36" s="438" t="e">
        <f>'9'!#REF!</f>
        <v>#REF!</v>
      </c>
      <c r="P36" s="438" t="e">
        <f>'10'!#REF!</f>
        <v>#REF!</v>
      </c>
      <c r="Q36" s="438" t="e">
        <f>'11'!#REF!</f>
        <v>#REF!</v>
      </c>
      <c r="R36" s="438" t="e">
        <f>'12'!#REF!</f>
        <v>#REF!</v>
      </c>
      <c r="S36" s="438" t="e">
        <f>'13'!#REF!</f>
        <v>#REF!</v>
      </c>
      <c r="T36" s="438" t="e">
        <f>'14'!#REF!</f>
        <v>#REF!</v>
      </c>
      <c r="U36" s="438" t="e">
        <f>'15'!#REF!</f>
        <v>#REF!</v>
      </c>
      <c r="V36" s="438" t="e">
        <f>'16'!#REF!</f>
        <v>#REF!</v>
      </c>
      <c r="W36" s="438" t="e">
        <f>'17'!#REF!</f>
        <v>#REF!</v>
      </c>
      <c r="X36" s="438" t="e">
        <f>'18'!#REF!</f>
        <v>#REF!</v>
      </c>
      <c r="Y36" s="438" t="e">
        <f>'19'!#REF!</f>
        <v>#REF!</v>
      </c>
      <c r="Z36" s="438" t="e">
        <f>'20'!#REF!</f>
        <v>#REF!</v>
      </c>
      <c r="AA36" s="438" t="e">
        <f>'21'!#REF!</f>
        <v>#REF!</v>
      </c>
      <c r="AB36" s="438" t="e">
        <f>'22'!#REF!</f>
        <v>#REF!</v>
      </c>
      <c r="AC36" s="438" t="e">
        <f>'23'!#REF!</f>
        <v>#REF!</v>
      </c>
      <c r="AD36" s="438" t="e">
        <f>'24'!#REF!</f>
        <v>#REF!</v>
      </c>
      <c r="AE36" s="438" t="e">
        <f>'25'!#REF!</f>
        <v>#REF!</v>
      </c>
      <c r="AF36" s="166"/>
      <c r="AG36" s="87"/>
    </row>
    <row r="37" spans="2:33" x14ac:dyDescent="0.2">
      <c r="B37" s="83"/>
      <c r="C37" s="130"/>
      <c r="D37" s="170"/>
      <c r="E37" s="170"/>
      <c r="F37" s="173"/>
      <c r="G37" s="440" t="e">
        <f>SUM(G30:G36)</f>
        <v>#REF!</v>
      </c>
      <c r="H37" s="440" t="e">
        <f>SUM(H30:H36)</f>
        <v>#REF!</v>
      </c>
      <c r="I37" s="440" t="e">
        <f t="shared" ref="I37:AE37" si="1">SUM(I30:I36)</f>
        <v>#REF!</v>
      </c>
      <c r="J37" s="440" t="e">
        <f t="shared" si="1"/>
        <v>#REF!</v>
      </c>
      <c r="K37" s="440" t="e">
        <f t="shared" si="1"/>
        <v>#REF!</v>
      </c>
      <c r="L37" s="440" t="e">
        <f t="shared" si="1"/>
        <v>#REF!</v>
      </c>
      <c r="M37" s="440" t="e">
        <f t="shared" si="1"/>
        <v>#REF!</v>
      </c>
      <c r="N37" s="440" t="e">
        <f t="shared" si="1"/>
        <v>#REF!</v>
      </c>
      <c r="O37" s="440" t="e">
        <f t="shared" si="1"/>
        <v>#REF!</v>
      </c>
      <c r="P37" s="440" t="e">
        <f t="shared" si="1"/>
        <v>#REF!</v>
      </c>
      <c r="Q37" s="440" t="e">
        <f t="shared" si="1"/>
        <v>#REF!</v>
      </c>
      <c r="R37" s="440" t="e">
        <f t="shared" si="1"/>
        <v>#REF!</v>
      </c>
      <c r="S37" s="440" t="e">
        <f t="shared" si="1"/>
        <v>#REF!</v>
      </c>
      <c r="T37" s="440" t="e">
        <f t="shared" si="1"/>
        <v>#REF!</v>
      </c>
      <c r="U37" s="440" t="e">
        <f t="shared" si="1"/>
        <v>#REF!</v>
      </c>
      <c r="V37" s="440" t="e">
        <f t="shared" si="1"/>
        <v>#REF!</v>
      </c>
      <c r="W37" s="440" t="e">
        <f t="shared" si="1"/>
        <v>#REF!</v>
      </c>
      <c r="X37" s="440" t="e">
        <f t="shared" si="1"/>
        <v>#REF!</v>
      </c>
      <c r="Y37" s="440" t="e">
        <f t="shared" si="1"/>
        <v>#REF!</v>
      </c>
      <c r="Z37" s="440" t="e">
        <f t="shared" si="1"/>
        <v>#REF!</v>
      </c>
      <c r="AA37" s="440" t="e">
        <f t="shared" si="1"/>
        <v>#REF!</v>
      </c>
      <c r="AB37" s="440" t="e">
        <f t="shared" si="1"/>
        <v>#REF!</v>
      </c>
      <c r="AC37" s="440" t="e">
        <f t="shared" si="1"/>
        <v>#REF!</v>
      </c>
      <c r="AD37" s="440" t="e">
        <f t="shared" si="1"/>
        <v>#REF!</v>
      </c>
      <c r="AE37" s="440" t="e">
        <f t="shared" si="1"/>
        <v>#REF!</v>
      </c>
      <c r="AF37" s="162"/>
      <c r="AG37" s="87"/>
    </row>
    <row r="38" spans="2:33" x14ac:dyDescent="0.2">
      <c r="B38" s="83"/>
      <c r="C38" s="171"/>
      <c r="D38" s="170" t="s">
        <v>84</v>
      </c>
      <c r="E38" s="170"/>
      <c r="F38" s="306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4"/>
      <c r="AG38" s="87"/>
    </row>
    <row r="39" spans="2:33" x14ac:dyDescent="0.2">
      <c r="B39" s="83"/>
      <c r="C39" s="171"/>
      <c r="D39" s="131" t="s">
        <v>45</v>
      </c>
      <c r="E39" s="131"/>
      <c r="F39" s="306"/>
      <c r="G39" s="438" t="e">
        <f>'1'!#REF!</f>
        <v>#REF!</v>
      </c>
      <c r="H39" s="438" t="e">
        <f>'2'!#REF!</f>
        <v>#REF!</v>
      </c>
      <c r="I39" s="438" t="e">
        <f>'3'!#REF!</f>
        <v>#REF!</v>
      </c>
      <c r="J39" s="438" t="e">
        <f>'4'!#REF!</f>
        <v>#REF!</v>
      </c>
      <c r="K39" s="438" t="e">
        <f>'5'!#REF!</f>
        <v>#REF!</v>
      </c>
      <c r="L39" s="438" t="e">
        <f>'6'!#REF!</f>
        <v>#REF!</v>
      </c>
      <c r="M39" s="438" t="e">
        <f>'7'!#REF!</f>
        <v>#REF!</v>
      </c>
      <c r="N39" s="438" t="e">
        <f>'8'!#REF!</f>
        <v>#REF!</v>
      </c>
      <c r="O39" s="438" t="e">
        <f>'9'!#REF!</f>
        <v>#REF!</v>
      </c>
      <c r="P39" s="438" t="e">
        <f>'10'!#REF!</f>
        <v>#REF!</v>
      </c>
      <c r="Q39" s="438" t="e">
        <f>'11'!#REF!</f>
        <v>#REF!</v>
      </c>
      <c r="R39" s="438" t="e">
        <f>'12'!#REF!</f>
        <v>#REF!</v>
      </c>
      <c r="S39" s="438" t="e">
        <f>'13'!#REF!</f>
        <v>#REF!</v>
      </c>
      <c r="T39" s="438" t="e">
        <f>'14'!#REF!</f>
        <v>#REF!</v>
      </c>
      <c r="U39" s="438" t="e">
        <f>'15'!#REF!</f>
        <v>#REF!</v>
      </c>
      <c r="V39" s="438" t="e">
        <f>'16'!#REF!</f>
        <v>#REF!</v>
      </c>
      <c r="W39" s="438" t="e">
        <f>'17'!#REF!</f>
        <v>#REF!</v>
      </c>
      <c r="X39" s="438" t="e">
        <f>'18'!#REF!</f>
        <v>#REF!</v>
      </c>
      <c r="Y39" s="438" t="e">
        <f>'19'!#REF!</f>
        <v>#REF!</v>
      </c>
      <c r="Z39" s="438" t="e">
        <f>'20'!#REF!</f>
        <v>#REF!</v>
      </c>
      <c r="AA39" s="438" t="e">
        <f>'21'!#REF!</f>
        <v>#REF!</v>
      </c>
      <c r="AB39" s="438" t="e">
        <f>'22'!#REF!</f>
        <v>#REF!</v>
      </c>
      <c r="AC39" s="438" t="e">
        <f>'23'!#REF!</f>
        <v>#REF!</v>
      </c>
      <c r="AD39" s="438" t="e">
        <f>'24'!#REF!</f>
        <v>#REF!</v>
      </c>
      <c r="AE39" s="438" t="e">
        <f>'25'!#REF!</f>
        <v>#REF!</v>
      </c>
      <c r="AF39" s="134"/>
      <c r="AG39" s="87"/>
    </row>
    <row r="40" spans="2:33" x14ac:dyDescent="0.2">
      <c r="B40" s="83"/>
      <c r="C40" s="171"/>
      <c r="D40" s="131" t="s">
        <v>99</v>
      </c>
      <c r="E40" s="131"/>
      <c r="F40" s="306"/>
      <c r="G40" s="438" t="e">
        <f>'1'!#REF!</f>
        <v>#REF!</v>
      </c>
      <c r="H40" s="438" t="e">
        <f>'2'!#REF!</f>
        <v>#REF!</v>
      </c>
      <c r="I40" s="438" t="e">
        <f>'3'!#REF!</f>
        <v>#REF!</v>
      </c>
      <c r="J40" s="438" t="e">
        <f>'4'!#REF!</f>
        <v>#REF!</v>
      </c>
      <c r="K40" s="438" t="e">
        <f>'5'!#REF!</f>
        <v>#REF!</v>
      </c>
      <c r="L40" s="438" t="e">
        <f>'6'!#REF!</f>
        <v>#REF!</v>
      </c>
      <c r="M40" s="438" t="e">
        <f>'7'!#REF!</f>
        <v>#REF!</v>
      </c>
      <c r="N40" s="438" t="e">
        <f>'8'!#REF!</f>
        <v>#REF!</v>
      </c>
      <c r="O40" s="438" t="e">
        <f>'9'!#REF!</f>
        <v>#REF!</v>
      </c>
      <c r="P40" s="438" t="e">
        <f>'10'!#REF!</f>
        <v>#REF!</v>
      </c>
      <c r="Q40" s="438" t="e">
        <f>'11'!#REF!</f>
        <v>#REF!</v>
      </c>
      <c r="R40" s="438" t="e">
        <f>'12'!#REF!</f>
        <v>#REF!</v>
      </c>
      <c r="S40" s="438" t="e">
        <f>'13'!#REF!</f>
        <v>#REF!</v>
      </c>
      <c r="T40" s="438" t="e">
        <f>'14'!#REF!</f>
        <v>#REF!</v>
      </c>
      <c r="U40" s="438" t="e">
        <f>'15'!#REF!</f>
        <v>#REF!</v>
      </c>
      <c r="V40" s="438" t="e">
        <f>'16'!#REF!</f>
        <v>#REF!</v>
      </c>
      <c r="W40" s="438" t="e">
        <f>'17'!#REF!</f>
        <v>#REF!</v>
      </c>
      <c r="X40" s="438" t="e">
        <f>'18'!#REF!</f>
        <v>#REF!</v>
      </c>
      <c r="Y40" s="438" t="e">
        <f>'19'!#REF!</f>
        <v>#REF!</v>
      </c>
      <c r="Z40" s="438" t="e">
        <f>'20'!#REF!</f>
        <v>#REF!</v>
      </c>
      <c r="AA40" s="438" t="e">
        <f>'21'!#REF!</f>
        <v>#REF!</v>
      </c>
      <c r="AB40" s="438" t="e">
        <f>'22'!#REF!</f>
        <v>#REF!</v>
      </c>
      <c r="AC40" s="438" t="e">
        <f>'23'!#REF!</f>
        <v>#REF!</v>
      </c>
      <c r="AD40" s="438" t="e">
        <f>'24'!#REF!</f>
        <v>#REF!</v>
      </c>
      <c r="AE40" s="438" t="e">
        <f>'25'!#REF!</f>
        <v>#REF!</v>
      </c>
      <c r="AF40" s="134"/>
      <c r="AG40" s="87"/>
    </row>
    <row r="41" spans="2:33" x14ac:dyDescent="0.2">
      <c r="B41" s="83"/>
      <c r="C41" s="130"/>
      <c r="D41" s="131" t="s">
        <v>47</v>
      </c>
      <c r="E41" s="131"/>
      <c r="F41" s="292"/>
      <c r="G41" s="438" t="e">
        <f>'1'!#REF!</f>
        <v>#REF!</v>
      </c>
      <c r="H41" s="438" t="e">
        <f>'2'!#REF!</f>
        <v>#REF!</v>
      </c>
      <c r="I41" s="438" t="e">
        <f>'3'!#REF!</f>
        <v>#REF!</v>
      </c>
      <c r="J41" s="438" t="e">
        <f>'4'!#REF!</f>
        <v>#REF!</v>
      </c>
      <c r="K41" s="438" t="e">
        <f>'5'!#REF!</f>
        <v>#REF!</v>
      </c>
      <c r="L41" s="438" t="e">
        <f>'6'!#REF!</f>
        <v>#REF!</v>
      </c>
      <c r="M41" s="438" t="e">
        <f>'7'!#REF!</f>
        <v>#REF!</v>
      </c>
      <c r="N41" s="438" t="e">
        <f>'8'!#REF!</f>
        <v>#REF!</v>
      </c>
      <c r="O41" s="438" t="e">
        <f>'9'!#REF!</f>
        <v>#REF!</v>
      </c>
      <c r="P41" s="438" t="e">
        <f>'10'!#REF!</f>
        <v>#REF!</v>
      </c>
      <c r="Q41" s="438" t="e">
        <f>'11'!#REF!</f>
        <v>#REF!</v>
      </c>
      <c r="R41" s="438" t="e">
        <f>'12'!#REF!</f>
        <v>#REF!</v>
      </c>
      <c r="S41" s="438" t="e">
        <f>'13'!#REF!</f>
        <v>#REF!</v>
      </c>
      <c r="T41" s="438" t="e">
        <f>'14'!#REF!</f>
        <v>#REF!</v>
      </c>
      <c r="U41" s="438" t="e">
        <f>'15'!#REF!</f>
        <v>#REF!</v>
      </c>
      <c r="V41" s="438" t="e">
        <f>'16'!#REF!</f>
        <v>#REF!</v>
      </c>
      <c r="W41" s="438" t="e">
        <f>'17'!#REF!</f>
        <v>#REF!</v>
      </c>
      <c r="X41" s="438" t="e">
        <f>'18'!#REF!</f>
        <v>#REF!</v>
      </c>
      <c r="Y41" s="438" t="e">
        <f>'19'!#REF!</f>
        <v>#REF!</v>
      </c>
      <c r="Z41" s="438" t="e">
        <f>'20'!#REF!</f>
        <v>#REF!</v>
      </c>
      <c r="AA41" s="438" t="e">
        <f>'21'!#REF!</f>
        <v>#REF!</v>
      </c>
      <c r="AB41" s="438" t="e">
        <f>'22'!#REF!</f>
        <v>#REF!</v>
      </c>
      <c r="AC41" s="438" t="e">
        <f>'23'!#REF!</f>
        <v>#REF!</v>
      </c>
      <c r="AD41" s="438" t="e">
        <f>'24'!#REF!</f>
        <v>#REF!</v>
      </c>
      <c r="AE41" s="438" t="e">
        <f>'25'!#REF!</f>
        <v>#REF!</v>
      </c>
      <c r="AF41" s="136"/>
      <c r="AG41" s="87"/>
    </row>
    <row r="42" spans="2:33" x14ac:dyDescent="0.2">
      <c r="B42" s="83"/>
      <c r="C42" s="130"/>
      <c r="D42" s="172" t="s">
        <v>6</v>
      </c>
      <c r="E42" s="172"/>
      <c r="F42" s="307"/>
      <c r="G42" s="438" t="e">
        <f>'1'!#REF!</f>
        <v>#REF!</v>
      </c>
      <c r="H42" s="438" t="e">
        <f>'2'!#REF!</f>
        <v>#REF!</v>
      </c>
      <c r="I42" s="438" t="e">
        <f>'3'!#REF!</f>
        <v>#REF!</v>
      </c>
      <c r="J42" s="438" t="e">
        <f>'4'!#REF!</f>
        <v>#REF!</v>
      </c>
      <c r="K42" s="438" t="e">
        <f>'5'!#REF!</f>
        <v>#REF!</v>
      </c>
      <c r="L42" s="438" t="e">
        <f>'6'!#REF!</f>
        <v>#REF!</v>
      </c>
      <c r="M42" s="438" t="e">
        <f>'7'!#REF!</f>
        <v>#REF!</v>
      </c>
      <c r="N42" s="438" t="e">
        <f>'8'!#REF!</f>
        <v>#REF!</v>
      </c>
      <c r="O42" s="438" t="e">
        <f>'9'!#REF!</f>
        <v>#REF!</v>
      </c>
      <c r="P42" s="438" t="e">
        <f>'10'!#REF!</f>
        <v>#REF!</v>
      </c>
      <c r="Q42" s="438" t="e">
        <f>'11'!#REF!</f>
        <v>#REF!</v>
      </c>
      <c r="R42" s="438" t="e">
        <f>'12'!#REF!</f>
        <v>#REF!</v>
      </c>
      <c r="S42" s="438" t="e">
        <f>'13'!#REF!</f>
        <v>#REF!</v>
      </c>
      <c r="T42" s="438" t="e">
        <f>'14'!#REF!</f>
        <v>#REF!</v>
      </c>
      <c r="U42" s="438" t="e">
        <f>'15'!#REF!</f>
        <v>#REF!</v>
      </c>
      <c r="V42" s="438" t="e">
        <f>'16'!#REF!</f>
        <v>#REF!</v>
      </c>
      <c r="W42" s="438" t="e">
        <f>'17'!#REF!</f>
        <v>#REF!</v>
      </c>
      <c r="X42" s="438" t="e">
        <f>'18'!#REF!</f>
        <v>#REF!</v>
      </c>
      <c r="Y42" s="438" t="e">
        <f>'19'!#REF!</f>
        <v>#REF!</v>
      </c>
      <c r="Z42" s="438" t="e">
        <f>'20'!#REF!</f>
        <v>#REF!</v>
      </c>
      <c r="AA42" s="438" t="e">
        <f>'21'!#REF!</f>
        <v>#REF!</v>
      </c>
      <c r="AB42" s="438" t="e">
        <f>'22'!#REF!</f>
        <v>#REF!</v>
      </c>
      <c r="AC42" s="438" t="e">
        <f>'23'!#REF!</f>
        <v>#REF!</v>
      </c>
      <c r="AD42" s="438" t="e">
        <f>'24'!#REF!</f>
        <v>#REF!</v>
      </c>
      <c r="AE42" s="438" t="e">
        <f>'25'!#REF!</f>
        <v>#REF!</v>
      </c>
      <c r="AF42" s="136"/>
      <c r="AG42" s="87"/>
    </row>
    <row r="43" spans="2:33" x14ac:dyDescent="0.2">
      <c r="B43" s="83"/>
      <c r="C43" s="130"/>
      <c r="D43" s="131" t="s">
        <v>31</v>
      </c>
      <c r="E43" s="131"/>
      <c r="F43" s="136"/>
      <c r="G43" s="438" t="e">
        <f>'1'!#REF!</f>
        <v>#REF!</v>
      </c>
      <c r="H43" s="438" t="e">
        <f>'2'!#REF!</f>
        <v>#REF!</v>
      </c>
      <c r="I43" s="438" t="e">
        <f>'3'!#REF!</f>
        <v>#REF!</v>
      </c>
      <c r="J43" s="438" t="e">
        <f>'4'!#REF!</f>
        <v>#REF!</v>
      </c>
      <c r="K43" s="438" t="e">
        <f>'5'!#REF!</f>
        <v>#REF!</v>
      </c>
      <c r="L43" s="438" t="e">
        <f>'6'!#REF!</f>
        <v>#REF!</v>
      </c>
      <c r="M43" s="438" t="e">
        <f>'7'!#REF!</f>
        <v>#REF!</v>
      </c>
      <c r="N43" s="438" t="e">
        <f>'8'!#REF!</f>
        <v>#REF!</v>
      </c>
      <c r="O43" s="438" t="e">
        <f>'9'!#REF!</f>
        <v>#REF!</v>
      </c>
      <c r="P43" s="438" t="e">
        <f>'10'!#REF!</f>
        <v>#REF!</v>
      </c>
      <c r="Q43" s="438" t="e">
        <f>'11'!#REF!</f>
        <v>#REF!</v>
      </c>
      <c r="R43" s="438" t="e">
        <f>'12'!#REF!</f>
        <v>#REF!</v>
      </c>
      <c r="S43" s="438" t="e">
        <f>'13'!#REF!</f>
        <v>#REF!</v>
      </c>
      <c r="T43" s="438" t="e">
        <f>'14'!#REF!</f>
        <v>#REF!</v>
      </c>
      <c r="U43" s="438" t="e">
        <f>'15'!#REF!</f>
        <v>#REF!</v>
      </c>
      <c r="V43" s="438" t="e">
        <f>'16'!#REF!</f>
        <v>#REF!</v>
      </c>
      <c r="W43" s="438" t="e">
        <f>'17'!#REF!</f>
        <v>#REF!</v>
      </c>
      <c r="X43" s="438" t="e">
        <f>'18'!#REF!</f>
        <v>#REF!</v>
      </c>
      <c r="Y43" s="438" t="e">
        <f>'19'!#REF!</f>
        <v>#REF!</v>
      </c>
      <c r="Z43" s="438" t="e">
        <f>'20'!#REF!</f>
        <v>#REF!</v>
      </c>
      <c r="AA43" s="438" t="e">
        <f>'21'!#REF!</f>
        <v>#REF!</v>
      </c>
      <c r="AB43" s="438" t="e">
        <f>'22'!#REF!</f>
        <v>#REF!</v>
      </c>
      <c r="AC43" s="438" t="e">
        <f>'23'!#REF!</f>
        <v>#REF!</v>
      </c>
      <c r="AD43" s="438" t="e">
        <f>'24'!#REF!</f>
        <v>#REF!</v>
      </c>
      <c r="AE43" s="438" t="e">
        <f>'25'!#REF!</f>
        <v>#REF!</v>
      </c>
      <c r="AF43" s="136"/>
      <c r="AG43" s="87"/>
    </row>
    <row r="44" spans="2:33" x14ac:dyDescent="0.2">
      <c r="B44" s="83"/>
      <c r="C44" s="130"/>
      <c r="D44" s="170"/>
      <c r="E44" s="170"/>
      <c r="F44" s="308"/>
      <c r="G44" s="362" t="e">
        <f>SUM(G39:G43)</f>
        <v>#REF!</v>
      </c>
      <c r="H44" s="362" t="e">
        <f t="shared" ref="H44:AE44" si="2">SUM(H39:H43)</f>
        <v>#REF!</v>
      </c>
      <c r="I44" s="362" t="e">
        <f t="shared" si="2"/>
        <v>#REF!</v>
      </c>
      <c r="J44" s="362" t="e">
        <f t="shared" si="2"/>
        <v>#REF!</v>
      </c>
      <c r="K44" s="362" t="e">
        <f t="shared" si="2"/>
        <v>#REF!</v>
      </c>
      <c r="L44" s="362" t="e">
        <f t="shared" si="2"/>
        <v>#REF!</v>
      </c>
      <c r="M44" s="362" t="e">
        <f t="shared" si="2"/>
        <v>#REF!</v>
      </c>
      <c r="N44" s="362" t="e">
        <f t="shared" si="2"/>
        <v>#REF!</v>
      </c>
      <c r="O44" s="362" t="e">
        <f t="shared" si="2"/>
        <v>#REF!</v>
      </c>
      <c r="P44" s="362" t="e">
        <f t="shared" si="2"/>
        <v>#REF!</v>
      </c>
      <c r="Q44" s="362" t="e">
        <f t="shared" si="2"/>
        <v>#REF!</v>
      </c>
      <c r="R44" s="362" t="e">
        <f t="shared" si="2"/>
        <v>#REF!</v>
      </c>
      <c r="S44" s="362" t="e">
        <f t="shared" si="2"/>
        <v>#REF!</v>
      </c>
      <c r="T44" s="362" t="e">
        <f t="shared" si="2"/>
        <v>#REF!</v>
      </c>
      <c r="U44" s="362" t="e">
        <f t="shared" si="2"/>
        <v>#REF!</v>
      </c>
      <c r="V44" s="362" t="e">
        <f t="shared" si="2"/>
        <v>#REF!</v>
      </c>
      <c r="W44" s="362" t="e">
        <f t="shared" si="2"/>
        <v>#REF!</v>
      </c>
      <c r="X44" s="362" t="e">
        <f t="shared" si="2"/>
        <v>#REF!</v>
      </c>
      <c r="Y44" s="362" t="e">
        <f t="shared" si="2"/>
        <v>#REF!</v>
      </c>
      <c r="Z44" s="362" t="e">
        <f t="shared" si="2"/>
        <v>#REF!</v>
      </c>
      <c r="AA44" s="362" t="e">
        <f t="shared" si="2"/>
        <v>#REF!</v>
      </c>
      <c r="AB44" s="362" t="e">
        <f t="shared" si="2"/>
        <v>#REF!</v>
      </c>
      <c r="AC44" s="362" t="e">
        <f t="shared" si="2"/>
        <v>#REF!</v>
      </c>
      <c r="AD44" s="362" t="e">
        <f t="shared" si="2"/>
        <v>#REF!</v>
      </c>
      <c r="AE44" s="362" t="e">
        <f t="shared" si="2"/>
        <v>#REF!</v>
      </c>
      <c r="AF44" s="136"/>
      <c r="AG44" s="87"/>
    </row>
    <row r="45" spans="2:33" x14ac:dyDescent="0.2">
      <c r="B45" s="83"/>
      <c r="C45" s="174"/>
      <c r="D45" s="170" t="s">
        <v>210</v>
      </c>
      <c r="E45" s="141"/>
      <c r="F45" s="437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6"/>
      <c r="AG45" s="87"/>
    </row>
    <row r="46" spans="2:33" x14ac:dyDescent="0.2">
      <c r="B46" s="83"/>
      <c r="C46" s="174"/>
      <c r="D46" s="131" t="s">
        <v>203</v>
      </c>
      <c r="E46" s="131"/>
      <c r="F46" s="437"/>
      <c r="G46" s="438" t="e">
        <f>'1'!#REF!</f>
        <v>#REF!</v>
      </c>
      <c r="H46" s="438" t="e">
        <f>'2'!#REF!</f>
        <v>#REF!</v>
      </c>
      <c r="I46" s="438" t="e">
        <f>'3'!#REF!</f>
        <v>#REF!</v>
      </c>
      <c r="J46" s="438" t="e">
        <f>'4'!#REF!</f>
        <v>#REF!</v>
      </c>
      <c r="K46" s="438" t="e">
        <f>'5'!#REF!</f>
        <v>#REF!</v>
      </c>
      <c r="L46" s="438" t="e">
        <f>'6'!#REF!</f>
        <v>#REF!</v>
      </c>
      <c r="M46" s="438" t="e">
        <f>'7'!#REF!</f>
        <v>#REF!</v>
      </c>
      <c r="N46" s="438" t="e">
        <f>'8'!#REF!</f>
        <v>#REF!</v>
      </c>
      <c r="O46" s="438" t="e">
        <f>'9'!#REF!</f>
        <v>#REF!</v>
      </c>
      <c r="P46" s="438" t="e">
        <f>'10'!#REF!</f>
        <v>#REF!</v>
      </c>
      <c r="Q46" s="438" t="e">
        <f>'11'!#REF!</f>
        <v>#REF!</v>
      </c>
      <c r="R46" s="438" t="e">
        <f>'12'!#REF!</f>
        <v>#REF!</v>
      </c>
      <c r="S46" s="438" t="e">
        <f>'13'!#REF!</f>
        <v>#REF!</v>
      </c>
      <c r="T46" s="438" t="e">
        <f>'14'!#REF!</f>
        <v>#REF!</v>
      </c>
      <c r="U46" s="438" t="e">
        <f>'15'!#REF!</f>
        <v>#REF!</v>
      </c>
      <c r="V46" s="438" t="e">
        <f>'16'!#REF!</f>
        <v>#REF!</v>
      </c>
      <c r="W46" s="438" t="e">
        <f>'17'!#REF!</f>
        <v>#REF!</v>
      </c>
      <c r="X46" s="438" t="e">
        <f>'18'!#REF!</f>
        <v>#REF!</v>
      </c>
      <c r="Y46" s="438" t="e">
        <f>'19'!#REF!</f>
        <v>#REF!</v>
      </c>
      <c r="Z46" s="438" t="e">
        <f>'20'!#REF!</f>
        <v>#REF!</v>
      </c>
      <c r="AA46" s="438" t="e">
        <f>'21'!#REF!</f>
        <v>#REF!</v>
      </c>
      <c r="AB46" s="438" t="e">
        <f>'22'!#REF!</f>
        <v>#REF!</v>
      </c>
      <c r="AC46" s="438" t="e">
        <f>'23'!#REF!</f>
        <v>#REF!</v>
      </c>
      <c r="AD46" s="438" t="e">
        <f>'24'!#REF!</f>
        <v>#REF!</v>
      </c>
      <c r="AE46" s="438" t="e">
        <f>'25'!#REF!</f>
        <v>#REF!</v>
      </c>
      <c r="AF46" s="136"/>
      <c r="AG46" s="87"/>
    </row>
    <row r="47" spans="2:33" x14ac:dyDescent="0.2">
      <c r="B47" s="83"/>
      <c r="C47" s="174"/>
      <c r="D47" s="131" t="s">
        <v>204</v>
      </c>
      <c r="E47" s="131"/>
      <c r="F47" s="136"/>
      <c r="G47" s="438" t="e">
        <f>'1'!#REF!</f>
        <v>#REF!</v>
      </c>
      <c r="H47" s="438" t="e">
        <f>'2'!#REF!</f>
        <v>#REF!</v>
      </c>
      <c r="I47" s="438" t="e">
        <f>'3'!#REF!</f>
        <v>#REF!</v>
      </c>
      <c r="J47" s="438" t="e">
        <f>'4'!#REF!</f>
        <v>#REF!</v>
      </c>
      <c r="K47" s="438" t="e">
        <f>'5'!#REF!</f>
        <v>#REF!</v>
      </c>
      <c r="L47" s="438" t="e">
        <f>'6'!#REF!</f>
        <v>#REF!</v>
      </c>
      <c r="M47" s="438" t="e">
        <f>'7'!#REF!</f>
        <v>#REF!</v>
      </c>
      <c r="N47" s="438" t="e">
        <f>'8'!#REF!</f>
        <v>#REF!</v>
      </c>
      <c r="O47" s="438" t="e">
        <f>'9'!#REF!</f>
        <v>#REF!</v>
      </c>
      <c r="P47" s="438" t="e">
        <f>'10'!#REF!</f>
        <v>#REF!</v>
      </c>
      <c r="Q47" s="438" t="e">
        <f>'11'!#REF!</f>
        <v>#REF!</v>
      </c>
      <c r="R47" s="438" t="e">
        <f>'12'!#REF!</f>
        <v>#REF!</v>
      </c>
      <c r="S47" s="438" t="e">
        <f>'13'!#REF!</f>
        <v>#REF!</v>
      </c>
      <c r="T47" s="438" t="e">
        <f>'14'!#REF!</f>
        <v>#REF!</v>
      </c>
      <c r="U47" s="438" t="e">
        <f>'15'!#REF!</f>
        <v>#REF!</v>
      </c>
      <c r="V47" s="438" t="e">
        <f>'16'!#REF!</f>
        <v>#REF!</v>
      </c>
      <c r="W47" s="438" t="e">
        <f>'17'!#REF!</f>
        <v>#REF!</v>
      </c>
      <c r="X47" s="438" t="e">
        <f>'18'!#REF!</f>
        <v>#REF!</v>
      </c>
      <c r="Y47" s="438" t="e">
        <f>'19'!#REF!</f>
        <v>#REF!</v>
      </c>
      <c r="Z47" s="438" t="e">
        <f>'20'!#REF!</f>
        <v>#REF!</v>
      </c>
      <c r="AA47" s="438" t="e">
        <f>'21'!#REF!</f>
        <v>#REF!</v>
      </c>
      <c r="AB47" s="438" t="e">
        <f>'22'!#REF!</f>
        <v>#REF!</v>
      </c>
      <c r="AC47" s="438" t="e">
        <f>'23'!#REF!</f>
        <v>#REF!</v>
      </c>
      <c r="AD47" s="438" t="e">
        <f>'24'!#REF!</f>
        <v>#REF!</v>
      </c>
      <c r="AE47" s="438" t="e">
        <f>'25'!#REF!</f>
        <v>#REF!</v>
      </c>
      <c r="AF47" s="136"/>
      <c r="AG47" s="87"/>
    </row>
    <row r="48" spans="2:33" x14ac:dyDescent="0.2">
      <c r="B48" s="83"/>
      <c r="C48" s="174"/>
      <c r="D48" s="131" t="s">
        <v>88</v>
      </c>
      <c r="E48" s="131"/>
      <c r="F48" s="154"/>
      <c r="G48" s="438" t="e">
        <f>'1'!#REF!</f>
        <v>#REF!</v>
      </c>
      <c r="H48" s="438" t="e">
        <f>'2'!#REF!</f>
        <v>#REF!</v>
      </c>
      <c r="I48" s="438" t="e">
        <f>'3'!#REF!</f>
        <v>#REF!</v>
      </c>
      <c r="J48" s="438" t="e">
        <f>'4'!#REF!</f>
        <v>#REF!</v>
      </c>
      <c r="K48" s="438" t="e">
        <f>'5'!#REF!</f>
        <v>#REF!</v>
      </c>
      <c r="L48" s="438" t="e">
        <f>'6'!#REF!</f>
        <v>#REF!</v>
      </c>
      <c r="M48" s="438" t="e">
        <f>'7'!#REF!</f>
        <v>#REF!</v>
      </c>
      <c r="N48" s="438" t="e">
        <f>'8'!#REF!</f>
        <v>#REF!</v>
      </c>
      <c r="O48" s="438" t="e">
        <f>'9'!#REF!</f>
        <v>#REF!</v>
      </c>
      <c r="P48" s="438" t="e">
        <f>'10'!#REF!</f>
        <v>#REF!</v>
      </c>
      <c r="Q48" s="438" t="e">
        <f>'11'!#REF!</f>
        <v>#REF!</v>
      </c>
      <c r="R48" s="438" t="e">
        <f>'12'!#REF!</f>
        <v>#REF!</v>
      </c>
      <c r="S48" s="438" t="e">
        <f>'13'!#REF!</f>
        <v>#REF!</v>
      </c>
      <c r="T48" s="438" t="e">
        <f>'14'!#REF!</f>
        <v>#REF!</v>
      </c>
      <c r="U48" s="438" t="e">
        <f>'15'!#REF!</f>
        <v>#REF!</v>
      </c>
      <c r="V48" s="438" t="e">
        <f>'16'!#REF!</f>
        <v>#REF!</v>
      </c>
      <c r="W48" s="438" t="e">
        <f>'17'!#REF!</f>
        <v>#REF!</v>
      </c>
      <c r="X48" s="438" t="e">
        <f>'18'!#REF!</f>
        <v>#REF!</v>
      </c>
      <c r="Y48" s="438" t="e">
        <f>'19'!#REF!</f>
        <v>#REF!</v>
      </c>
      <c r="Z48" s="438" t="e">
        <f>'20'!#REF!</f>
        <v>#REF!</v>
      </c>
      <c r="AA48" s="438" t="e">
        <f>'21'!#REF!</f>
        <v>#REF!</v>
      </c>
      <c r="AB48" s="438" t="e">
        <f>'22'!#REF!</f>
        <v>#REF!</v>
      </c>
      <c r="AC48" s="438" t="e">
        <f>'23'!#REF!</f>
        <v>#REF!</v>
      </c>
      <c r="AD48" s="438" t="e">
        <f>'24'!#REF!</f>
        <v>#REF!</v>
      </c>
      <c r="AE48" s="438" t="e">
        <f>'25'!#REF!</f>
        <v>#REF!</v>
      </c>
      <c r="AF48" s="136"/>
      <c r="AG48" s="87"/>
    </row>
    <row r="49" spans="2:33" s="73" customFormat="1" x14ac:dyDescent="0.2">
      <c r="B49" s="96"/>
      <c r="C49" s="284"/>
      <c r="D49" s="170"/>
      <c r="E49" s="170"/>
      <c r="F49" s="309"/>
      <c r="G49" s="439" t="e">
        <f t="shared" ref="G49:AE49" si="3">G46+G47+G48</f>
        <v>#REF!</v>
      </c>
      <c r="H49" s="439" t="e">
        <f t="shared" si="3"/>
        <v>#REF!</v>
      </c>
      <c r="I49" s="439" t="e">
        <f t="shared" si="3"/>
        <v>#REF!</v>
      </c>
      <c r="J49" s="439" t="e">
        <f t="shared" si="3"/>
        <v>#REF!</v>
      </c>
      <c r="K49" s="439" t="e">
        <f t="shared" si="3"/>
        <v>#REF!</v>
      </c>
      <c r="L49" s="439" t="e">
        <f t="shared" si="3"/>
        <v>#REF!</v>
      </c>
      <c r="M49" s="439" t="e">
        <f t="shared" si="3"/>
        <v>#REF!</v>
      </c>
      <c r="N49" s="439" t="e">
        <f t="shared" si="3"/>
        <v>#REF!</v>
      </c>
      <c r="O49" s="439" t="e">
        <f t="shared" si="3"/>
        <v>#REF!</v>
      </c>
      <c r="P49" s="439" t="e">
        <f t="shared" si="3"/>
        <v>#REF!</v>
      </c>
      <c r="Q49" s="439" t="e">
        <f t="shared" si="3"/>
        <v>#REF!</v>
      </c>
      <c r="R49" s="439" t="e">
        <f t="shared" si="3"/>
        <v>#REF!</v>
      </c>
      <c r="S49" s="439" t="e">
        <f t="shared" si="3"/>
        <v>#REF!</v>
      </c>
      <c r="T49" s="439" t="e">
        <f t="shared" si="3"/>
        <v>#REF!</v>
      </c>
      <c r="U49" s="439" t="e">
        <f t="shared" si="3"/>
        <v>#REF!</v>
      </c>
      <c r="V49" s="439" t="e">
        <f t="shared" si="3"/>
        <v>#REF!</v>
      </c>
      <c r="W49" s="439" t="e">
        <f t="shared" si="3"/>
        <v>#REF!</v>
      </c>
      <c r="X49" s="439" t="e">
        <f t="shared" si="3"/>
        <v>#REF!</v>
      </c>
      <c r="Y49" s="439" t="e">
        <f t="shared" si="3"/>
        <v>#REF!</v>
      </c>
      <c r="Z49" s="439" t="e">
        <f t="shared" si="3"/>
        <v>#REF!</v>
      </c>
      <c r="AA49" s="439" t="e">
        <f t="shared" si="3"/>
        <v>#REF!</v>
      </c>
      <c r="AB49" s="439" t="e">
        <f t="shared" si="3"/>
        <v>#REF!</v>
      </c>
      <c r="AC49" s="439" t="e">
        <f t="shared" si="3"/>
        <v>#REF!</v>
      </c>
      <c r="AD49" s="439" t="e">
        <f t="shared" si="3"/>
        <v>#REF!</v>
      </c>
      <c r="AE49" s="439" t="e">
        <f t="shared" si="3"/>
        <v>#REF!</v>
      </c>
      <c r="AF49" s="154"/>
      <c r="AG49" s="98"/>
    </row>
    <row r="50" spans="2:33" x14ac:dyDescent="0.2">
      <c r="B50" s="83"/>
      <c r="C50" s="174"/>
      <c r="D50" s="170" t="s">
        <v>218</v>
      </c>
      <c r="E50" s="141"/>
      <c r="F50" s="310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6"/>
      <c r="AG50" s="87"/>
    </row>
    <row r="51" spans="2:33" x14ac:dyDescent="0.2">
      <c r="B51" s="83"/>
      <c r="C51" s="163"/>
      <c r="D51" s="131" t="s">
        <v>229</v>
      </c>
      <c r="E51" s="131"/>
      <c r="F51" s="154"/>
      <c r="G51" s="438" t="e">
        <f>'1'!#REF!</f>
        <v>#REF!</v>
      </c>
      <c r="H51" s="438" t="e">
        <f>'2'!#REF!</f>
        <v>#REF!</v>
      </c>
      <c r="I51" s="438" t="e">
        <f>'3'!#REF!</f>
        <v>#REF!</v>
      </c>
      <c r="J51" s="438" t="e">
        <f>'4'!#REF!</f>
        <v>#REF!</v>
      </c>
      <c r="K51" s="438" t="e">
        <f>'5'!#REF!</f>
        <v>#REF!</v>
      </c>
      <c r="L51" s="438" t="e">
        <f>'6'!#REF!</f>
        <v>#REF!</v>
      </c>
      <c r="M51" s="438" t="e">
        <f>'7'!#REF!</f>
        <v>#REF!</v>
      </c>
      <c r="N51" s="438" t="e">
        <f>'8'!#REF!</f>
        <v>#REF!</v>
      </c>
      <c r="O51" s="438" t="e">
        <f>'9'!#REF!</f>
        <v>#REF!</v>
      </c>
      <c r="P51" s="438" t="e">
        <f>'10'!#REF!</f>
        <v>#REF!</v>
      </c>
      <c r="Q51" s="438" t="e">
        <f>'11'!#REF!</f>
        <v>#REF!</v>
      </c>
      <c r="R51" s="438" t="e">
        <f>'12'!#REF!</f>
        <v>#REF!</v>
      </c>
      <c r="S51" s="438" t="e">
        <f>'13'!#REF!</f>
        <v>#REF!</v>
      </c>
      <c r="T51" s="438" t="e">
        <f>'14'!#REF!</f>
        <v>#REF!</v>
      </c>
      <c r="U51" s="438" t="e">
        <f>'15'!#REF!</f>
        <v>#REF!</v>
      </c>
      <c r="V51" s="438" t="e">
        <f>'16'!#REF!</f>
        <v>#REF!</v>
      </c>
      <c r="W51" s="438" t="e">
        <f>'17'!#REF!</f>
        <v>#REF!</v>
      </c>
      <c r="X51" s="438" t="e">
        <f>'18'!#REF!</f>
        <v>#REF!</v>
      </c>
      <c r="Y51" s="438" t="e">
        <f>'19'!#REF!</f>
        <v>#REF!</v>
      </c>
      <c r="Z51" s="438" t="e">
        <f>'20'!#REF!</f>
        <v>#REF!</v>
      </c>
      <c r="AA51" s="438" t="e">
        <f>'21'!#REF!</f>
        <v>#REF!</v>
      </c>
      <c r="AB51" s="438" t="e">
        <f>'22'!#REF!</f>
        <v>#REF!</v>
      </c>
      <c r="AC51" s="438" t="e">
        <f>'23'!#REF!</f>
        <v>#REF!</v>
      </c>
      <c r="AD51" s="438" t="e">
        <f>'24'!#REF!</f>
        <v>#REF!</v>
      </c>
      <c r="AE51" s="438" t="e">
        <f>'25'!#REF!</f>
        <v>#REF!</v>
      </c>
      <c r="AF51" s="165"/>
      <c r="AG51" s="87"/>
    </row>
    <row r="52" spans="2:33" x14ac:dyDescent="0.2">
      <c r="B52" s="83"/>
      <c r="C52" s="174"/>
      <c r="D52" s="132" t="s">
        <v>259</v>
      </c>
      <c r="E52" s="131"/>
      <c r="F52" s="437"/>
      <c r="G52" s="438" t="e">
        <f>'1'!#REF!</f>
        <v>#REF!</v>
      </c>
      <c r="H52" s="438" t="e">
        <f>'2'!#REF!</f>
        <v>#REF!</v>
      </c>
      <c r="I52" s="438" t="e">
        <f>'3'!#REF!</f>
        <v>#REF!</v>
      </c>
      <c r="J52" s="438" t="e">
        <f>'4'!#REF!</f>
        <v>#REF!</v>
      </c>
      <c r="K52" s="438" t="e">
        <f>'5'!#REF!</f>
        <v>#REF!</v>
      </c>
      <c r="L52" s="438" t="e">
        <f>'6'!#REF!</f>
        <v>#REF!</v>
      </c>
      <c r="M52" s="438" t="e">
        <f>'7'!#REF!</f>
        <v>#REF!</v>
      </c>
      <c r="N52" s="438" t="e">
        <f>'8'!#REF!</f>
        <v>#REF!</v>
      </c>
      <c r="O52" s="438" t="e">
        <f>'9'!#REF!</f>
        <v>#REF!</v>
      </c>
      <c r="P52" s="438" t="e">
        <f>'10'!#REF!</f>
        <v>#REF!</v>
      </c>
      <c r="Q52" s="438" t="e">
        <f>'11'!#REF!</f>
        <v>#REF!</v>
      </c>
      <c r="R52" s="438" t="e">
        <f>'12'!#REF!</f>
        <v>#REF!</v>
      </c>
      <c r="S52" s="438" t="e">
        <f>'13'!#REF!</f>
        <v>#REF!</v>
      </c>
      <c r="T52" s="438" t="e">
        <f>'14'!#REF!</f>
        <v>#REF!</v>
      </c>
      <c r="U52" s="438" t="e">
        <f>'15'!#REF!</f>
        <v>#REF!</v>
      </c>
      <c r="V52" s="438" t="e">
        <f>'16'!#REF!</f>
        <v>#REF!</v>
      </c>
      <c r="W52" s="438" t="e">
        <f>'17'!#REF!</f>
        <v>#REF!</v>
      </c>
      <c r="X52" s="438" t="e">
        <f>'18'!#REF!</f>
        <v>#REF!</v>
      </c>
      <c r="Y52" s="438" t="e">
        <f>'19'!#REF!</f>
        <v>#REF!</v>
      </c>
      <c r="Z52" s="438" t="e">
        <f>'20'!#REF!</f>
        <v>#REF!</v>
      </c>
      <c r="AA52" s="438" t="e">
        <f>'21'!#REF!</f>
        <v>#REF!</v>
      </c>
      <c r="AB52" s="438" t="e">
        <f>'22'!#REF!</f>
        <v>#REF!</v>
      </c>
      <c r="AC52" s="438" t="e">
        <f>'23'!#REF!</f>
        <v>#REF!</v>
      </c>
      <c r="AD52" s="438" t="e">
        <f>'24'!#REF!</f>
        <v>#REF!</v>
      </c>
      <c r="AE52" s="438" t="e">
        <f>'25'!#REF!</f>
        <v>#REF!</v>
      </c>
      <c r="AF52" s="136"/>
      <c r="AG52" s="87"/>
    </row>
    <row r="53" spans="2:33" x14ac:dyDescent="0.2">
      <c r="B53" s="83"/>
      <c r="C53" s="174"/>
      <c r="D53" s="736"/>
      <c r="E53" s="737"/>
      <c r="F53" s="437"/>
      <c r="G53" s="438" t="e">
        <f>'1'!#REF!</f>
        <v>#REF!</v>
      </c>
      <c r="H53" s="438" t="e">
        <f>'2'!#REF!</f>
        <v>#REF!</v>
      </c>
      <c r="I53" s="438" t="e">
        <f>'3'!#REF!</f>
        <v>#REF!</v>
      </c>
      <c r="J53" s="438" t="e">
        <f>'4'!#REF!</f>
        <v>#REF!</v>
      </c>
      <c r="K53" s="438" t="e">
        <f>'5'!#REF!</f>
        <v>#REF!</v>
      </c>
      <c r="L53" s="438" t="e">
        <f>'6'!#REF!</f>
        <v>#REF!</v>
      </c>
      <c r="M53" s="438" t="e">
        <f>'7'!#REF!</f>
        <v>#REF!</v>
      </c>
      <c r="N53" s="438" t="e">
        <f>'8'!#REF!</f>
        <v>#REF!</v>
      </c>
      <c r="O53" s="438" t="e">
        <f>'9'!#REF!</f>
        <v>#REF!</v>
      </c>
      <c r="P53" s="438" t="e">
        <f>'10'!#REF!</f>
        <v>#REF!</v>
      </c>
      <c r="Q53" s="438" t="e">
        <f>'11'!#REF!</f>
        <v>#REF!</v>
      </c>
      <c r="R53" s="438" t="e">
        <f>'12'!#REF!</f>
        <v>#REF!</v>
      </c>
      <c r="S53" s="438" t="e">
        <f>'13'!#REF!</f>
        <v>#REF!</v>
      </c>
      <c r="T53" s="438" t="e">
        <f>'14'!#REF!</f>
        <v>#REF!</v>
      </c>
      <c r="U53" s="438" t="e">
        <f>'15'!#REF!</f>
        <v>#REF!</v>
      </c>
      <c r="V53" s="438" t="e">
        <f>'16'!#REF!</f>
        <v>#REF!</v>
      </c>
      <c r="W53" s="438" t="e">
        <f>'17'!#REF!</f>
        <v>#REF!</v>
      </c>
      <c r="X53" s="438" t="e">
        <f>'18'!#REF!</f>
        <v>#REF!</v>
      </c>
      <c r="Y53" s="438" t="e">
        <f>'19'!#REF!</f>
        <v>#REF!</v>
      </c>
      <c r="Z53" s="438" t="e">
        <f>'20'!#REF!</f>
        <v>#REF!</v>
      </c>
      <c r="AA53" s="438" t="e">
        <f>'21'!#REF!</f>
        <v>#REF!</v>
      </c>
      <c r="AB53" s="438" t="e">
        <f>'22'!#REF!</f>
        <v>#REF!</v>
      </c>
      <c r="AC53" s="438" t="e">
        <f>'23'!#REF!</f>
        <v>#REF!</v>
      </c>
      <c r="AD53" s="438" t="e">
        <f>'24'!#REF!</f>
        <v>#REF!</v>
      </c>
      <c r="AE53" s="438" t="e">
        <f>'25'!#REF!</f>
        <v>#REF!</v>
      </c>
      <c r="AF53" s="136"/>
      <c r="AG53" s="87"/>
    </row>
    <row r="54" spans="2:33" x14ac:dyDescent="0.2">
      <c r="B54" s="83"/>
      <c r="C54" s="174"/>
      <c r="D54" s="736"/>
      <c r="E54" s="737"/>
      <c r="F54" s="437"/>
      <c r="G54" s="438" t="e">
        <f>'1'!#REF!</f>
        <v>#REF!</v>
      </c>
      <c r="H54" s="438" t="e">
        <f>'2'!#REF!</f>
        <v>#REF!</v>
      </c>
      <c r="I54" s="438" t="e">
        <f>'3'!#REF!</f>
        <v>#REF!</v>
      </c>
      <c r="J54" s="438" t="e">
        <f>'4'!#REF!</f>
        <v>#REF!</v>
      </c>
      <c r="K54" s="438" t="e">
        <f>'5'!#REF!</f>
        <v>#REF!</v>
      </c>
      <c r="L54" s="438" t="e">
        <f>'6'!#REF!</f>
        <v>#REF!</v>
      </c>
      <c r="M54" s="438" t="e">
        <f>'7'!#REF!</f>
        <v>#REF!</v>
      </c>
      <c r="N54" s="438" t="e">
        <f>'8'!#REF!</f>
        <v>#REF!</v>
      </c>
      <c r="O54" s="438" t="e">
        <f>'9'!#REF!</f>
        <v>#REF!</v>
      </c>
      <c r="P54" s="438" t="e">
        <f>'10'!#REF!</f>
        <v>#REF!</v>
      </c>
      <c r="Q54" s="438" t="e">
        <f>'11'!#REF!</f>
        <v>#REF!</v>
      </c>
      <c r="R54" s="438" t="e">
        <f>'12'!#REF!</f>
        <v>#REF!</v>
      </c>
      <c r="S54" s="438" t="e">
        <f>'13'!#REF!</f>
        <v>#REF!</v>
      </c>
      <c r="T54" s="438" t="e">
        <f>'14'!#REF!</f>
        <v>#REF!</v>
      </c>
      <c r="U54" s="438" t="e">
        <f>'15'!#REF!</f>
        <v>#REF!</v>
      </c>
      <c r="V54" s="438" t="e">
        <f>'16'!#REF!</f>
        <v>#REF!</v>
      </c>
      <c r="W54" s="438" t="e">
        <f>'17'!#REF!</f>
        <v>#REF!</v>
      </c>
      <c r="X54" s="438" t="e">
        <f>'18'!#REF!</f>
        <v>#REF!</v>
      </c>
      <c r="Y54" s="438" t="e">
        <f>'19'!#REF!</f>
        <v>#REF!</v>
      </c>
      <c r="Z54" s="438" t="e">
        <f>'20'!#REF!</f>
        <v>#REF!</v>
      </c>
      <c r="AA54" s="438" t="e">
        <f>'21'!#REF!</f>
        <v>#REF!</v>
      </c>
      <c r="AB54" s="438" t="e">
        <f>'22'!#REF!</f>
        <v>#REF!</v>
      </c>
      <c r="AC54" s="438" t="e">
        <f>'23'!#REF!</f>
        <v>#REF!</v>
      </c>
      <c r="AD54" s="438" t="e">
        <f>'24'!#REF!</f>
        <v>#REF!</v>
      </c>
      <c r="AE54" s="438" t="e">
        <f>'25'!#REF!</f>
        <v>#REF!</v>
      </c>
      <c r="AF54" s="136"/>
      <c r="AG54" s="87"/>
    </row>
    <row r="55" spans="2:33" x14ac:dyDescent="0.2">
      <c r="B55" s="83"/>
      <c r="C55" s="174"/>
      <c r="D55" s="736"/>
      <c r="E55" s="737"/>
      <c r="F55" s="437"/>
      <c r="G55" s="438" t="e">
        <f>'1'!#REF!</f>
        <v>#REF!</v>
      </c>
      <c r="H55" s="438" t="e">
        <f>'2'!#REF!</f>
        <v>#REF!</v>
      </c>
      <c r="I55" s="438" t="e">
        <f>'3'!#REF!</f>
        <v>#REF!</v>
      </c>
      <c r="J55" s="438" t="e">
        <f>'4'!#REF!</f>
        <v>#REF!</v>
      </c>
      <c r="K55" s="438" t="e">
        <f>'5'!#REF!</f>
        <v>#REF!</v>
      </c>
      <c r="L55" s="438" t="e">
        <f>'6'!#REF!</f>
        <v>#REF!</v>
      </c>
      <c r="M55" s="438" t="e">
        <f>'7'!#REF!</f>
        <v>#REF!</v>
      </c>
      <c r="N55" s="438" t="e">
        <f>'8'!#REF!</f>
        <v>#REF!</v>
      </c>
      <c r="O55" s="438" t="e">
        <f>'9'!#REF!</f>
        <v>#REF!</v>
      </c>
      <c r="P55" s="438" t="e">
        <f>'10'!#REF!</f>
        <v>#REF!</v>
      </c>
      <c r="Q55" s="438" t="e">
        <f>'11'!#REF!</f>
        <v>#REF!</v>
      </c>
      <c r="R55" s="438" t="e">
        <f>'12'!#REF!</f>
        <v>#REF!</v>
      </c>
      <c r="S55" s="438" t="e">
        <f>'13'!#REF!</f>
        <v>#REF!</v>
      </c>
      <c r="T55" s="438" t="e">
        <f>'14'!#REF!</f>
        <v>#REF!</v>
      </c>
      <c r="U55" s="438" t="e">
        <f>'15'!#REF!</f>
        <v>#REF!</v>
      </c>
      <c r="V55" s="438" t="e">
        <f>'16'!#REF!</f>
        <v>#REF!</v>
      </c>
      <c r="W55" s="438" t="e">
        <f>'17'!#REF!</f>
        <v>#REF!</v>
      </c>
      <c r="X55" s="438" t="e">
        <f>'18'!#REF!</f>
        <v>#REF!</v>
      </c>
      <c r="Y55" s="438" t="e">
        <f>'19'!#REF!</f>
        <v>#REF!</v>
      </c>
      <c r="Z55" s="438" t="e">
        <f>'20'!#REF!</f>
        <v>#REF!</v>
      </c>
      <c r="AA55" s="438" t="e">
        <f>'21'!#REF!</f>
        <v>#REF!</v>
      </c>
      <c r="AB55" s="438" t="e">
        <f>'22'!#REF!</f>
        <v>#REF!</v>
      </c>
      <c r="AC55" s="438" t="e">
        <f>'23'!#REF!</f>
        <v>#REF!</v>
      </c>
      <c r="AD55" s="438" t="e">
        <f>'24'!#REF!</f>
        <v>#REF!</v>
      </c>
      <c r="AE55" s="438" t="e">
        <f>'25'!#REF!</f>
        <v>#REF!</v>
      </c>
      <c r="AF55" s="136"/>
      <c r="AG55" s="87"/>
    </row>
    <row r="56" spans="2:33" s="72" customFormat="1" x14ac:dyDescent="0.2">
      <c r="B56" s="94"/>
      <c r="C56" s="174"/>
      <c r="D56" s="141"/>
      <c r="E56" s="141"/>
      <c r="F56" s="607"/>
      <c r="G56" s="608" t="e">
        <f t="shared" ref="G56:AE56" si="4">SUM(G51:G55)</f>
        <v>#REF!</v>
      </c>
      <c r="H56" s="608" t="e">
        <f t="shared" si="4"/>
        <v>#REF!</v>
      </c>
      <c r="I56" s="608" t="e">
        <f t="shared" si="4"/>
        <v>#REF!</v>
      </c>
      <c r="J56" s="608" t="e">
        <f t="shared" si="4"/>
        <v>#REF!</v>
      </c>
      <c r="K56" s="608" t="e">
        <f t="shared" si="4"/>
        <v>#REF!</v>
      </c>
      <c r="L56" s="608" t="e">
        <f t="shared" si="4"/>
        <v>#REF!</v>
      </c>
      <c r="M56" s="608" t="e">
        <f t="shared" si="4"/>
        <v>#REF!</v>
      </c>
      <c r="N56" s="608" t="e">
        <f t="shared" si="4"/>
        <v>#REF!</v>
      </c>
      <c r="O56" s="608" t="e">
        <f t="shared" si="4"/>
        <v>#REF!</v>
      </c>
      <c r="P56" s="608" t="e">
        <f t="shared" si="4"/>
        <v>#REF!</v>
      </c>
      <c r="Q56" s="608" t="e">
        <f t="shared" si="4"/>
        <v>#REF!</v>
      </c>
      <c r="R56" s="608" t="e">
        <f t="shared" si="4"/>
        <v>#REF!</v>
      </c>
      <c r="S56" s="608" t="e">
        <f t="shared" si="4"/>
        <v>#REF!</v>
      </c>
      <c r="T56" s="608" t="e">
        <f t="shared" si="4"/>
        <v>#REF!</v>
      </c>
      <c r="U56" s="608" t="e">
        <f t="shared" si="4"/>
        <v>#REF!</v>
      </c>
      <c r="V56" s="608" t="e">
        <f t="shared" si="4"/>
        <v>#REF!</v>
      </c>
      <c r="W56" s="608" t="e">
        <f t="shared" si="4"/>
        <v>#REF!</v>
      </c>
      <c r="X56" s="608" t="e">
        <f t="shared" si="4"/>
        <v>#REF!</v>
      </c>
      <c r="Y56" s="608" t="e">
        <f t="shared" si="4"/>
        <v>#REF!</v>
      </c>
      <c r="Z56" s="608" t="e">
        <f t="shared" si="4"/>
        <v>#REF!</v>
      </c>
      <c r="AA56" s="608" t="e">
        <f t="shared" si="4"/>
        <v>#REF!</v>
      </c>
      <c r="AB56" s="608" t="e">
        <f t="shared" si="4"/>
        <v>#REF!</v>
      </c>
      <c r="AC56" s="608" t="e">
        <f t="shared" si="4"/>
        <v>#REF!</v>
      </c>
      <c r="AD56" s="608" t="e">
        <f t="shared" si="4"/>
        <v>#REF!</v>
      </c>
      <c r="AE56" s="608" t="e">
        <f t="shared" si="4"/>
        <v>#REF!</v>
      </c>
      <c r="AF56" s="173"/>
      <c r="AG56" s="95"/>
    </row>
    <row r="57" spans="2:33" x14ac:dyDescent="0.2">
      <c r="B57" s="83"/>
      <c r="C57" s="174"/>
      <c r="D57" s="170" t="s">
        <v>219</v>
      </c>
      <c r="E57" s="141"/>
      <c r="F57" s="173"/>
      <c r="AF57" s="136"/>
      <c r="AG57" s="87"/>
    </row>
    <row r="58" spans="2:33" x14ac:dyDescent="0.2">
      <c r="B58" s="83"/>
      <c r="C58" s="174"/>
      <c r="D58" s="131" t="s">
        <v>165</v>
      </c>
      <c r="E58" s="131"/>
      <c r="F58" s="310"/>
      <c r="G58" s="438" t="e">
        <f>'1'!#REF!</f>
        <v>#REF!</v>
      </c>
      <c r="H58" s="438" t="e">
        <f>'2'!#REF!</f>
        <v>#REF!</v>
      </c>
      <c r="I58" s="438" t="e">
        <f>'3'!#REF!</f>
        <v>#REF!</v>
      </c>
      <c r="J58" s="438" t="e">
        <f>'4'!#REF!</f>
        <v>#REF!</v>
      </c>
      <c r="K58" s="438" t="e">
        <f>'5'!#REF!</f>
        <v>#REF!</v>
      </c>
      <c r="L58" s="438" t="e">
        <f>'6'!#REF!</f>
        <v>#REF!</v>
      </c>
      <c r="M58" s="438" t="e">
        <f>'7'!#REF!</f>
        <v>#REF!</v>
      </c>
      <c r="N58" s="438" t="e">
        <f>'8'!#REF!</f>
        <v>#REF!</v>
      </c>
      <c r="O58" s="438" t="e">
        <f>'9'!#REF!</f>
        <v>#REF!</v>
      </c>
      <c r="P58" s="438" t="e">
        <f>'10'!#REF!</f>
        <v>#REF!</v>
      </c>
      <c r="Q58" s="438" t="e">
        <f>'11'!#REF!</f>
        <v>#REF!</v>
      </c>
      <c r="R58" s="438" t="e">
        <f>'12'!#REF!</f>
        <v>#REF!</v>
      </c>
      <c r="S58" s="438" t="e">
        <f>'13'!#REF!</f>
        <v>#REF!</v>
      </c>
      <c r="T58" s="438" t="e">
        <f>'14'!#REF!</f>
        <v>#REF!</v>
      </c>
      <c r="U58" s="438" t="e">
        <f>'15'!#REF!</f>
        <v>#REF!</v>
      </c>
      <c r="V58" s="438" t="e">
        <f>'16'!#REF!</f>
        <v>#REF!</v>
      </c>
      <c r="W58" s="438" t="e">
        <f>'17'!#REF!</f>
        <v>#REF!</v>
      </c>
      <c r="X58" s="438" t="e">
        <f>'18'!#REF!</f>
        <v>#REF!</v>
      </c>
      <c r="Y58" s="438" t="e">
        <f>'19'!#REF!</f>
        <v>#REF!</v>
      </c>
      <c r="Z58" s="438" t="e">
        <f>'20'!#REF!</f>
        <v>#REF!</v>
      </c>
      <c r="AA58" s="438" t="e">
        <f>'21'!#REF!</f>
        <v>#REF!</v>
      </c>
      <c r="AB58" s="438" t="e">
        <f>'22'!#REF!</f>
        <v>#REF!</v>
      </c>
      <c r="AC58" s="438" t="e">
        <f>'23'!#REF!</f>
        <v>#REF!</v>
      </c>
      <c r="AD58" s="438" t="e">
        <f>'24'!#REF!</f>
        <v>#REF!</v>
      </c>
      <c r="AE58" s="438" t="e">
        <f>'25'!#REF!</f>
        <v>#REF!</v>
      </c>
      <c r="AF58" s="136"/>
      <c r="AG58" s="87"/>
    </row>
    <row r="59" spans="2:33" x14ac:dyDescent="0.2">
      <c r="B59" s="83"/>
      <c r="C59" s="174"/>
      <c r="D59" s="131" t="s">
        <v>166</v>
      </c>
      <c r="E59" s="178"/>
      <c r="F59" s="311"/>
      <c r="G59" s="438" t="e">
        <f>'1'!#REF!</f>
        <v>#REF!</v>
      </c>
      <c r="H59" s="438" t="e">
        <f>'2'!#REF!</f>
        <v>#REF!</v>
      </c>
      <c r="I59" s="438" t="e">
        <f>'3'!#REF!</f>
        <v>#REF!</v>
      </c>
      <c r="J59" s="438" t="e">
        <f>'4'!#REF!</f>
        <v>#REF!</v>
      </c>
      <c r="K59" s="438" t="e">
        <f>'5'!#REF!</f>
        <v>#REF!</v>
      </c>
      <c r="L59" s="438" t="e">
        <f>'6'!#REF!</f>
        <v>#REF!</v>
      </c>
      <c r="M59" s="438" t="e">
        <f>'7'!#REF!</f>
        <v>#REF!</v>
      </c>
      <c r="N59" s="438" t="e">
        <f>'8'!#REF!</f>
        <v>#REF!</v>
      </c>
      <c r="O59" s="438" t="e">
        <f>'9'!#REF!</f>
        <v>#REF!</v>
      </c>
      <c r="P59" s="438" t="e">
        <f>'10'!#REF!</f>
        <v>#REF!</v>
      </c>
      <c r="Q59" s="438" t="e">
        <f>'11'!#REF!</f>
        <v>#REF!</v>
      </c>
      <c r="R59" s="438" t="e">
        <f>'12'!#REF!</f>
        <v>#REF!</v>
      </c>
      <c r="S59" s="438" t="e">
        <f>'13'!#REF!</f>
        <v>#REF!</v>
      </c>
      <c r="T59" s="438" t="e">
        <f>'14'!#REF!</f>
        <v>#REF!</v>
      </c>
      <c r="U59" s="438" t="e">
        <f>'15'!#REF!</f>
        <v>#REF!</v>
      </c>
      <c r="V59" s="438" t="e">
        <f>'16'!#REF!</f>
        <v>#REF!</v>
      </c>
      <c r="W59" s="438" t="e">
        <f>'17'!#REF!</f>
        <v>#REF!</v>
      </c>
      <c r="X59" s="438" t="e">
        <f>'18'!#REF!</f>
        <v>#REF!</v>
      </c>
      <c r="Y59" s="438" t="e">
        <f>'19'!#REF!</f>
        <v>#REF!</v>
      </c>
      <c r="Z59" s="438" t="e">
        <f>'20'!#REF!</f>
        <v>#REF!</v>
      </c>
      <c r="AA59" s="438" t="e">
        <f>'21'!#REF!</f>
        <v>#REF!</v>
      </c>
      <c r="AB59" s="438" t="e">
        <f>'22'!#REF!</f>
        <v>#REF!</v>
      </c>
      <c r="AC59" s="438" t="e">
        <f>'23'!#REF!</f>
        <v>#REF!</v>
      </c>
      <c r="AD59" s="438" t="e">
        <f>'24'!#REF!</f>
        <v>#REF!</v>
      </c>
      <c r="AE59" s="438" t="e">
        <f>'25'!#REF!</f>
        <v>#REF!</v>
      </c>
      <c r="AF59" s="136"/>
      <c r="AG59" s="87"/>
    </row>
    <row r="60" spans="2:33" x14ac:dyDescent="0.2">
      <c r="B60" s="83"/>
      <c r="C60" s="174"/>
      <c r="D60" s="141" t="s">
        <v>167</v>
      </c>
      <c r="E60" s="144"/>
      <c r="F60" s="312"/>
      <c r="G60" s="422" t="e">
        <f>G58-G59</f>
        <v>#REF!</v>
      </c>
      <c r="H60" s="422" t="e">
        <f t="shared" ref="H60:AE60" si="5">H58-H59</f>
        <v>#REF!</v>
      </c>
      <c r="I60" s="422" t="e">
        <f t="shared" si="5"/>
        <v>#REF!</v>
      </c>
      <c r="J60" s="422" t="e">
        <f t="shared" si="5"/>
        <v>#REF!</v>
      </c>
      <c r="K60" s="422" t="e">
        <f t="shared" si="5"/>
        <v>#REF!</v>
      </c>
      <c r="L60" s="422" t="e">
        <f t="shared" si="5"/>
        <v>#REF!</v>
      </c>
      <c r="M60" s="422" t="e">
        <f t="shared" si="5"/>
        <v>#REF!</v>
      </c>
      <c r="N60" s="422" t="e">
        <f t="shared" si="5"/>
        <v>#REF!</v>
      </c>
      <c r="O60" s="422" t="e">
        <f t="shared" si="5"/>
        <v>#REF!</v>
      </c>
      <c r="P60" s="422" t="e">
        <f t="shared" si="5"/>
        <v>#REF!</v>
      </c>
      <c r="Q60" s="422" t="e">
        <f t="shared" si="5"/>
        <v>#REF!</v>
      </c>
      <c r="R60" s="422" t="e">
        <f t="shared" si="5"/>
        <v>#REF!</v>
      </c>
      <c r="S60" s="422" t="e">
        <f t="shared" si="5"/>
        <v>#REF!</v>
      </c>
      <c r="T60" s="422" t="e">
        <f t="shared" si="5"/>
        <v>#REF!</v>
      </c>
      <c r="U60" s="422" t="e">
        <f t="shared" si="5"/>
        <v>#REF!</v>
      </c>
      <c r="V60" s="422" t="e">
        <f t="shared" si="5"/>
        <v>#REF!</v>
      </c>
      <c r="W60" s="422" t="e">
        <f t="shared" si="5"/>
        <v>#REF!</v>
      </c>
      <c r="X60" s="422" t="e">
        <f t="shared" si="5"/>
        <v>#REF!</v>
      </c>
      <c r="Y60" s="422" t="e">
        <f t="shared" si="5"/>
        <v>#REF!</v>
      </c>
      <c r="Z60" s="422" t="e">
        <f t="shared" si="5"/>
        <v>#REF!</v>
      </c>
      <c r="AA60" s="422" t="e">
        <f t="shared" si="5"/>
        <v>#REF!</v>
      </c>
      <c r="AB60" s="422" t="e">
        <f t="shared" si="5"/>
        <v>#REF!</v>
      </c>
      <c r="AC60" s="422" t="e">
        <f t="shared" si="5"/>
        <v>#REF!</v>
      </c>
      <c r="AD60" s="422" t="e">
        <f t="shared" si="5"/>
        <v>#REF!</v>
      </c>
      <c r="AE60" s="422" t="e">
        <f t="shared" si="5"/>
        <v>#REF!</v>
      </c>
      <c r="AF60" s="136"/>
      <c r="AG60" s="87"/>
    </row>
    <row r="61" spans="2:33" x14ac:dyDescent="0.2">
      <c r="B61" s="83"/>
      <c r="C61" s="174"/>
      <c r="D61" s="141"/>
      <c r="E61" s="141"/>
      <c r="F61" s="310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6"/>
      <c r="AG61" s="87"/>
    </row>
    <row r="62" spans="2:33" x14ac:dyDescent="0.2">
      <c r="B62" s="83"/>
      <c r="C62" s="174"/>
      <c r="D62" s="170" t="s">
        <v>168</v>
      </c>
      <c r="E62" s="141"/>
      <c r="F62" s="310"/>
      <c r="G62" s="426" t="e">
        <f t="shared" ref="G62:AE62" si="6">G37+G44+G49+G56-G60</f>
        <v>#REF!</v>
      </c>
      <c r="H62" s="426" t="e">
        <f t="shared" si="6"/>
        <v>#REF!</v>
      </c>
      <c r="I62" s="426" t="e">
        <f t="shared" si="6"/>
        <v>#REF!</v>
      </c>
      <c r="J62" s="426" t="e">
        <f t="shared" si="6"/>
        <v>#REF!</v>
      </c>
      <c r="K62" s="426" t="e">
        <f t="shared" si="6"/>
        <v>#REF!</v>
      </c>
      <c r="L62" s="426" t="e">
        <f t="shared" si="6"/>
        <v>#REF!</v>
      </c>
      <c r="M62" s="426" t="e">
        <f t="shared" si="6"/>
        <v>#REF!</v>
      </c>
      <c r="N62" s="426" t="e">
        <f t="shared" si="6"/>
        <v>#REF!</v>
      </c>
      <c r="O62" s="426" t="e">
        <f t="shared" si="6"/>
        <v>#REF!</v>
      </c>
      <c r="P62" s="426" t="e">
        <f t="shared" si="6"/>
        <v>#REF!</v>
      </c>
      <c r="Q62" s="426" t="e">
        <f t="shared" si="6"/>
        <v>#REF!</v>
      </c>
      <c r="R62" s="426" t="e">
        <f t="shared" si="6"/>
        <v>#REF!</v>
      </c>
      <c r="S62" s="426" t="e">
        <f t="shared" si="6"/>
        <v>#REF!</v>
      </c>
      <c r="T62" s="426" t="e">
        <f t="shared" si="6"/>
        <v>#REF!</v>
      </c>
      <c r="U62" s="426" t="e">
        <f t="shared" si="6"/>
        <v>#REF!</v>
      </c>
      <c r="V62" s="426" t="e">
        <f t="shared" si="6"/>
        <v>#REF!</v>
      </c>
      <c r="W62" s="426" t="e">
        <f t="shared" si="6"/>
        <v>#REF!</v>
      </c>
      <c r="X62" s="426" t="e">
        <f t="shared" si="6"/>
        <v>#REF!</v>
      </c>
      <c r="Y62" s="426" t="e">
        <f t="shared" si="6"/>
        <v>#REF!</v>
      </c>
      <c r="Z62" s="426" t="e">
        <f t="shared" si="6"/>
        <v>#REF!</v>
      </c>
      <c r="AA62" s="426" t="e">
        <f t="shared" si="6"/>
        <v>#REF!</v>
      </c>
      <c r="AB62" s="426" t="e">
        <f t="shared" si="6"/>
        <v>#REF!</v>
      </c>
      <c r="AC62" s="426" t="e">
        <f t="shared" si="6"/>
        <v>#REF!</v>
      </c>
      <c r="AD62" s="426" t="e">
        <f t="shared" si="6"/>
        <v>#REF!</v>
      </c>
      <c r="AE62" s="426" t="e">
        <f t="shared" si="6"/>
        <v>#REF!</v>
      </c>
      <c r="AF62" s="136"/>
      <c r="AG62" s="87"/>
    </row>
    <row r="63" spans="2:33" x14ac:dyDescent="0.2">
      <c r="B63" s="83"/>
      <c r="C63" s="75"/>
      <c r="D63" s="304"/>
      <c r="E63" s="304"/>
      <c r="F63" s="313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314"/>
      <c r="AG63" s="87"/>
    </row>
    <row r="64" spans="2:33" x14ac:dyDescent="0.2">
      <c r="B64" s="83"/>
      <c r="C64" s="409"/>
      <c r="D64" s="88"/>
      <c r="E64" s="88"/>
      <c r="F64" s="409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7"/>
    </row>
    <row r="65" spans="2:33" x14ac:dyDescent="0.2">
      <c r="B65" s="83"/>
      <c r="C65" s="217"/>
      <c r="D65" s="218"/>
      <c r="E65" s="218"/>
      <c r="F65" s="219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60"/>
      <c r="AG65" s="87"/>
    </row>
    <row r="66" spans="2:33" x14ac:dyDescent="0.2">
      <c r="B66" s="83"/>
      <c r="C66" s="217"/>
      <c r="D66" s="488" t="s">
        <v>238</v>
      </c>
      <c r="E66" s="218"/>
      <c r="F66" s="219"/>
      <c r="G66" s="426" t="e">
        <f>'1'!#REF!</f>
        <v>#REF!</v>
      </c>
      <c r="H66" s="426" t="e">
        <f>'2'!#REF!</f>
        <v>#REF!</v>
      </c>
      <c r="I66" s="426" t="e">
        <f>'3'!#REF!</f>
        <v>#REF!</v>
      </c>
      <c r="J66" s="426" t="e">
        <f>'4'!#REF!</f>
        <v>#REF!</v>
      </c>
      <c r="K66" s="426" t="e">
        <f>'5'!#REF!</f>
        <v>#REF!</v>
      </c>
      <c r="L66" s="426" t="e">
        <f>'6'!#REF!</f>
        <v>#REF!</v>
      </c>
      <c r="M66" s="426" t="e">
        <f>'7'!#REF!</f>
        <v>#REF!</v>
      </c>
      <c r="N66" s="426" t="e">
        <f>'8'!#REF!</f>
        <v>#REF!</v>
      </c>
      <c r="O66" s="426" t="e">
        <f>'9'!#REF!</f>
        <v>#REF!</v>
      </c>
      <c r="P66" s="426" t="e">
        <f>'10'!#REF!</f>
        <v>#REF!</v>
      </c>
      <c r="Q66" s="426" t="e">
        <f>'11'!#REF!</f>
        <v>#REF!</v>
      </c>
      <c r="R66" s="426" t="e">
        <f>'12'!#REF!</f>
        <v>#REF!</v>
      </c>
      <c r="S66" s="426" t="e">
        <f>'13'!#REF!</f>
        <v>#REF!</v>
      </c>
      <c r="T66" s="426" t="e">
        <f>'14'!#REF!</f>
        <v>#REF!</v>
      </c>
      <c r="U66" s="426" t="e">
        <f>'15'!#REF!</f>
        <v>#REF!</v>
      </c>
      <c r="V66" s="426" t="e">
        <f>'16'!#REF!</f>
        <v>#REF!</v>
      </c>
      <c r="W66" s="426" t="e">
        <f>'17'!#REF!</f>
        <v>#REF!</v>
      </c>
      <c r="X66" s="426" t="e">
        <f>'18'!#REF!</f>
        <v>#REF!</v>
      </c>
      <c r="Y66" s="426" t="e">
        <f>'19'!#REF!</f>
        <v>#REF!</v>
      </c>
      <c r="Z66" s="426" t="e">
        <f>'20'!#REF!</f>
        <v>#REF!</v>
      </c>
      <c r="AA66" s="426" t="e">
        <f>'21'!#REF!</f>
        <v>#REF!</v>
      </c>
      <c r="AB66" s="426" t="e">
        <f>'22'!#REF!</f>
        <v>#REF!</v>
      </c>
      <c r="AC66" s="426" t="e">
        <f>'23'!#REF!</f>
        <v>#REF!</v>
      </c>
      <c r="AD66" s="426" t="e">
        <f>'24'!#REF!</f>
        <v>#REF!</v>
      </c>
      <c r="AE66" s="426" t="e">
        <f>'25'!#REF!</f>
        <v>#REF!</v>
      </c>
      <c r="AF66" s="160"/>
      <c r="AG66" s="87"/>
    </row>
    <row r="67" spans="2:33" x14ac:dyDescent="0.2">
      <c r="B67" s="83"/>
      <c r="C67" s="404"/>
      <c r="D67" s="488" t="s">
        <v>215</v>
      </c>
      <c r="E67" s="141"/>
      <c r="F67" s="181"/>
      <c r="G67" s="426" t="e">
        <f>'1'!#REF!</f>
        <v>#REF!</v>
      </c>
      <c r="H67" s="426" t="e">
        <f>'2'!#REF!</f>
        <v>#REF!</v>
      </c>
      <c r="I67" s="426" t="e">
        <f>'3'!#REF!</f>
        <v>#REF!</v>
      </c>
      <c r="J67" s="426" t="e">
        <f>'4'!#REF!</f>
        <v>#REF!</v>
      </c>
      <c r="K67" s="426" t="e">
        <f>'5'!#REF!</f>
        <v>#REF!</v>
      </c>
      <c r="L67" s="426" t="e">
        <f>'6'!#REF!</f>
        <v>#REF!</v>
      </c>
      <c r="M67" s="426" t="e">
        <f>'7'!#REF!</f>
        <v>#REF!</v>
      </c>
      <c r="N67" s="426" t="e">
        <f>'8'!#REF!</f>
        <v>#REF!</v>
      </c>
      <c r="O67" s="426" t="e">
        <f>'9'!#REF!</f>
        <v>#REF!</v>
      </c>
      <c r="P67" s="426" t="e">
        <f>'10'!#REF!</f>
        <v>#REF!</v>
      </c>
      <c r="Q67" s="426" t="e">
        <f>'11'!#REF!</f>
        <v>#REF!</v>
      </c>
      <c r="R67" s="426" t="e">
        <f>'12'!#REF!</f>
        <v>#REF!</v>
      </c>
      <c r="S67" s="426" t="e">
        <f>'13'!#REF!</f>
        <v>#REF!</v>
      </c>
      <c r="T67" s="426" t="e">
        <f>'14'!#REF!</f>
        <v>#REF!</v>
      </c>
      <c r="U67" s="426" t="e">
        <f>'15'!#REF!</f>
        <v>#REF!</v>
      </c>
      <c r="V67" s="426" t="e">
        <f>'16'!#REF!</f>
        <v>#REF!</v>
      </c>
      <c r="W67" s="426" t="e">
        <f>'17'!#REF!</f>
        <v>#REF!</v>
      </c>
      <c r="X67" s="426" t="e">
        <f>'18'!#REF!</f>
        <v>#REF!</v>
      </c>
      <c r="Y67" s="426" t="e">
        <f>'19'!#REF!</f>
        <v>#REF!</v>
      </c>
      <c r="Z67" s="426" t="e">
        <f>'20'!#REF!</f>
        <v>#REF!</v>
      </c>
      <c r="AA67" s="426" t="e">
        <f>'21'!#REF!</f>
        <v>#REF!</v>
      </c>
      <c r="AB67" s="426" t="e">
        <f>'22'!#REF!</f>
        <v>#REF!</v>
      </c>
      <c r="AC67" s="426" t="e">
        <f>'23'!#REF!</f>
        <v>#REF!</v>
      </c>
      <c r="AD67" s="426" t="e">
        <f>'24'!#REF!</f>
        <v>#REF!</v>
      </c>
      <c r="AE67" s="426" t="e">
        <f>'25'!#REF!</f>
        <v>#REF!</v>
      </c>
      <c r="AF67" s="136"/>
      <c r="AG67" s="87"/>
    </row>
    <row r="68" spans="2:33" x14ac:dyDescent="0.2">
      <c r="B68" s="83"/>
      <c r="C68" s="183"/>
      <c r="D68" s="156"/>
      <c r="E68" s="156"/>
      <c r="F68" s="220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57"/>
      <c r="AG68" s="87"/>
    </row>
    <row r="69" spans="2:33" x14ac:dyDescent="0.2">
      <c r="B69" s="83"/>
      <c r="C69" s="99"/>
      <c r="D69" s="92"/>
      <c r="E69" s="92"/>
      <c r="F69" s="108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7"/>
    </row>
    <row r="70" spans="2:33" x14ac:dyDescent="0.2">
      <c r="B70" s="83"/>
      <c r="C70" s="74"/>
      <c r="D70" s="304"/>
      <c r="E70" s="304"/>
      <c r="F70" s="75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G70" s="87"/>
    </row>
    <row r="71" spans="2:33" s="72" customFormat="1" x14ac:dyDescent="0.2">
      <c r="B71" s="94"/>
      <c r="C71" s="605"/>
      <c r="D71" s="506" t="s">
        <v>236</v>
      </c>
      <c r="E71" s="304"/>
      <c r="F71" s="75"/>
      <c r="G71" s="606" t="e">
        <f>G62+G66+G67</f>
        <v>#REF!</v>
      </c>
      <c r="H71" s="606" t="e">
        <f t="shared" ref="H71:AE71" si="7">H62+H66+H67</f>
        <v>#REF!</v>
      </c>
      <c r="I71" s="606" t="e">
        <f t="shared" si="7"/>
        <v>#REF!</v>
      </c>
      <c r="J71" s="606" t="e">
        <f t="shared" si="7"/>
        <v>#REF!</v>
      </c>
      <c r="K71" s="606" t="e">
        <f t="shared" si="7"/>
        <v>#REF!</v>
      </c>
      <c r="L71" s="606" t="e">
        <f t="shared" si="7"/>
        <v>#REF!</v>
      </c>
      <c r="M71" s="606" t="e">
        <f t="shared" si="7"/>
        <v>#REF!</v>
      </c>
      <c r="N71" s="606" t="e">
        <f t="shared" si="7"/>
        <v>#REF!</v>
      </c>
      <c r="O71" s="606" t="e">
        <f t="shared" si="7"/>
        <v>#REF!</v>
      </c>
      <c r="P71" s="606" t="e">
        <f t="shared" si="7"/>
        <v>#REF!</v>
      </c>
      <c r="Q71" s="606" t="e">
        <f t="shared" si="7"/>
        <v>#REF!</v>
      </c>
      <c r="R71" s="606" t="e">
        <f t="shared" si="7"/>
        <v>#REF!</v>
      </c>
      <c r="S71" s="606" t="e">
        <f t="shared" si="7"/>
        <v>#REF!</v>
      </c>
      <c r="T71" s="606" t="e">
        <f t="shared" si="7"/>
        <v>#REF!</v>
      </c>
      <c r="U71" s="606" t="e">
        <f t="shared" si="7"/>
        <v>#REF!</v>
      </c>
      <c r="V71" s="606" t="e">
        <f t="shared" si="7"/>
        <v>#REF!</v>
      </c>
      <c r="W71" s="606" t="e">
        <f t="shared" si="7"/>
        <v>#REF!</v>
      </c>
      <c r="X71" s="606" t="e">
        <f t="shared" si="7"/>
        <v>#REF!</v>
      </c>
      <c r="Y71" s="606" t="e">
        <f t="shared" si="7"/>
        <v>#REF!</v>
      </c>
      <c r="Z71" s="606" t="e">
        <f t="shared" si="7"/>
        <v>#REF!</v>
      </c>
      <c r="AA71" s="606" t="e">
        <f t="shared" si="7"/>
        <v>#REF!</v>
      </c>
      <c r="AB71" s="606" t="e">
        <f t="shared" si="7"/>
        <v>#REF!</v>
      </c>
      <c r="AC71" s="606" t="e">
        <f t="shared" si="7"/>
        <v>#REF!</v>
      </c>
      <c r="AD71" s="606" t="e">
        <f t="shared" si="7"/>
        <v>#REF!</v>
      </c>
      <c r="AE71" s="606" t="e">
        <f t="shared" si="7"/>
        <v>#REF!</v>
      </c>
      <c r="AG71" s="95"/>
    </row>
    <row r="72" spans="2:33" s="471" customFormat="1" x14ac:dyDescent="0.2">
      <c r="B72" s="469"/>
      <c r="C72" s="305"/>
      <c r="D72" s="470" t="s">
        <v>237</v>
      </c>
      <c r="E72" s="470"/>
      <c r="F72" s="305"/>
      <c r="G72" s="615" t="e">
        <f t="shared" ref="G72:AE72" si="8">G71/G19</f>
        <v>#REF!</v>
      </c>
      <c r="H72" s="615" t="e">
        <f t="shared" si="8"/>
        <v>#REF!</v>
      </c>
      <c r="I72" s="615" t="e">
        <f t="shared" si="8"/>
        <v>#REF!</v>
      </c>
      <c r="J72" s="615" t="e">
        <f t="shared" si="8"/>
        <v>#REF!</v>
      </c>
      <c r="K72" s="615" t="e">
        <f t="shared" si="8"/>
        <v>#REF!</v>
      </c>
      <c r="L72" s="615" t="e">
        <f t="shared" si="8"/>
        <v>#REF!</v>
      </c>
      <c r="M72" s="615" t="e">
        <f t="shared" si="8"/>
        <v>#REF!</v>
      </c>
      <c r="N72" s="615" t="e">
        <f t="shared" si="8"/>
        <v>#REF!</v>
      </c>
      <c r="O72" s="615" t="e">
        <f t="shared" si="8"/>
        <v>#REF!</v>
      </c>
      <c r="P72" s="615" t="e">
        <f t="shared" si="8"/>
        <v>#REF!</v>
      </c>
      <c r="Q72" s="615" t="e">
        <f t="shared" si="8"/>
        <v>#REF!</v>
      </c>
      <c r="R72" s="615" t="e">
        <f t="shared" si="8"/>
        <v>#REF!</v>
      </c>
      <c r="S72" s="615" t="e">
        <f t="shared" si="8"/>
        <v>#REF!</v>
      </c>
      <c r="T72" s="615" t="e">
        <f t="shared" si="8"/>
        <v>#REF!</v>
      </c>
      <c r="U72" s="615" t="e">
        <f t="shared" si="8"/>
        <v>#REF!</v>
      </c>
      <c r="V72" s="615" t="e">
        <f t="shared" si="8"/>
        <v>#REF!</v>
      </c>
      <c r="W72" s="615" t="e">
        <f t="shared" si="8"/>
        <v>#REF!</v>
      </c>
      <c r="X72" s="615" t="e">
        <f t="shared" si="8"/>
        <v>#REF!</v>
      </c>
      <c r="Y72" s="615" t="e">
        <f t="shared" si="8"/>
        <v>#REF!</v>
      </c>
      <c r="Z72" s="615" t="e">
        <f t="shared" si="8"/>
        <v>#REF!</v>
      </c>
      <c r="AA72" s="615" t="e">
        <f t="shared" si="8"/>
        <v>#REF!</v>
      </c>
      <c r="AB72" s="615" t="e">
        <f t="shared" si="8"/>
        <v>#REF!</v>
      </c>
      <c r="AC72" s="615" t="e">
        <f t="shared" si="8"/>
        <v>#REF!</v>
      </c>
      <c r="AD72" s="615" t="e">
        <f t="shared" si="8"/>
        <v>#REF!</v>
      </c>
      <c r="AE72" s="615" t="e">
        <f t="shared" si="8"/>
        <v>#REF!</v>
      </c>
      <c r="AG72" s="472"/>
    </row>
    <row r="73" spans="2:33" x14ac:dyDescent="0.2">
      <c r="B73" s="83"/>
      <c r="C73" s="74"/>
      <c r="D73" s="304"/>
      <c r="E73" s="304"/>
      <c r="F73" s="75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G73" s="87"/>
    </row>
    <row r="74" spans="2:33" x14ac:dyDescent="0.2">
      <c r="B74" s="83"/>
      <c r="C74" s="99"/>
      <c r="D74" s="92"/>
      <c r="E74" s="92"/>
      <c r="F74" s="108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7"/>
    </row>
    <row r="75" spans="2:33" x14ac:dyDescent="0.2">
      <c r="B75" s="101"/>
      <c r="C75" s="248"/>
      <c r="D75" s="109"/>
      <c r="E75" s="109"/>
      <c r="F75" s="102"/>
      <c r="G75" s="268"/>
      <c r="H75" s="268"/>
      <c r="I75" s="268"/>
      <c r="J75" s="268"/>
      <c r="K75" s="268"/>
      <c r="L75" s="268"/>
      <c r="M75" s="268"/>
      <c r="N75" s="268"/>
      <c r="O75" s="268"/>
      <c r="P75" s="268"/>
      <c r="Q75" s="268"/>
      <c r="R75" s="268"/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473" t="s">
        <v>183</v>
      </c>
      <c r="AG75" s="103"/>
    </row>
  </sheetData>
  <mergeCells count="3">
    <mergeCell ref="D53:E53"/>
    <mergeCell ref="D54:E54"/>
    <mergeCell ref="D55:E55"/>
  </mergeCells>
  <pageMargins left="0.74803149606299213" right="0.74803149606299213" top="0.98425196850393704" bottom="0.98425196850393704" header="0.51181102362204722" footer="0.51181102362204722"/>
  <pageSetup paperSize="9" scale="40" orientation="landscape" r:id="rId1"/>
  <headerFooter alignWithMargins="0">
    <oddFooter>&amp;L&amp;D&amp;Rpagina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279"/>
  <sheetViews>
    <sheetView zoomScale="85" zoomScaleNormal="85" workbookViewId="0"/>
  </sheetViews>
  <sheetFormatPr defaultColWidth="9.140625" defaultRowHeight="12.75" x14ac:dyDescent="0.2"/>
  <cols>
    <col min="1" max="1" width="45.7109375" style="2" customWidth="1"/>
    <col min="2" max="2" width="2.7109375" style="2" customWidth="1"/>
    <col min="3" max="3" width="14.85546875" style="2" hidden="1" customWidth="1"/>
    <col min="4" max="9" width="14.7109375" style="2" hidden="1" customWidth="1"/>
    <col min="10" max="10" width="14.7109375" style="331" hidden="1" customWidth="1"/>
    <col min="11" max="11" width="14.7109375" style="2" hidden="1" customWidth="1"/>
    <col min="12" max="12" width="14.7109375" style="47" hidden="1" customWidth="1"/>
    <col min="13" max="13" width="14.7109375" style="692" customWidth="1"/>
    <col min="14" max="14" width="14.7109375" style="664" customWidth="1"/>
    <col min="15" max="19" width="14.7109375" style="649" customWidth="1"/>
    <col min="20" max="28" width="14.7109375" style="2" customWidth="1"/>
    <col min="29" max="29" width="12.7109375" style="2" customWidth="1"/>
    <col min="30" max="53" width="10.85546875" style="2" customWidth="1"/>
    <col min="54" max="16384" width="9.140625" style="2"/>
  </cols>
  <sheetData>
    <row r="2" spans="1:20" x14ac:dyDescent="0.2">
      <c r="A2" s="65" t="s">
        <v>32</v>
      </c>
      <c r="B2" s="65"/>
      <c r="C2" s="323" t="s">
        <v>157</v>
      </c>
      <c r="D2" s="323" t="s">
        <v>64</v>
      </c>
      <c r="E2" s="323" t="s">
        <v>65</v>
      </c>
      <c r="F2" s="323" t="s">
        <v>66</v>
      </c>
      <c r="G2" s="323" t="s">
        <v>67</v>
      </c>
      <c r="H2" s="323" t="s">
        <v>100</v>
      </c>
      <c r="I2" s="323" t="s">
        <v>109</v>
      </c>
      <c r="J2" s="327" t="s">
        <v>162</v>
      </c>
      <c r="K2" s="323" t="s">
        <v>184</v>
      </c>
      <c r="L2" s="617" t="s">
        <v>206</v>
      </c>
      <c r="M2" s="675" t="s">
        <v>227</v>
      </c>
      <c r="N2" s="706" t="s">
        <v>233</v>
      </c>
      <c r="O2" s="645" t="s">
        <v>261</v>
      </c>
      <c r="P2" s="645" t="s">
        <v>311</v>
      </c>
      <c r="Q2" s="645" t="s">
        <v>313</v>
      </c>
      <c r="R2" s="645" t="s">
        <v>320</v>
      </c>
      <c r="S2" s="645" t="s">
        <v>322</v>
      </c>
    </row>
    <row r="3" spans="1:20" x14ac:dyDescent="0.2">
      <c r="A3" s="65" t="s">
        <v>68</v>
      </c>
      <c r="B3" s="65"/>
      <c r="C3" s="324">
        <v>38626</v>
      </c>
      <c r="D3" s="324">
        <v>38991</v>
      </c>
      <c r="E3" s="324">
        <v>39356</v>
      </c>
      <c r="F3" s="324">
        <v>39722</v>
      </c>
      <c r="G3" s="324">
        <v>40087</v>
      </c>
      <c r="H3" s="324">
        <v>40452</v>
      </c>
      <c r="I3" s="324">
        <v>40817</v>
      </c>
      <c r="J3" s="328">
        <v>41183</v>
      </c>
      <c r="K3" s="324">
        <v>41548</v>
      </c>
      <c r="L3" s="618">
        <v>41913</v>
      </c>
      <c r="M3" s="676">
        <v>42278</v>
      </c>
      <c r="N3" s="707">
        <v>42644</v>
      </c>
      <c r="O3" s="646">
        <v>43009</v>
      </c>
      <c r="P3" s="646">
        <v>43374</v>
      </c>
      <c r="Q3" s="646">
        <v>43739</v>
      </c>
      <c r="R3" s="646">
        <v>44105</v>
      </c>
      <c r="S3" s="646">
        <v>44470</v>
      </c>
    </row>
    <row r="4" spans="1:20" x14ac:dyDescent="0.2">
      <c r="A4" s="65" t="s">
        <v>71</v>
      </c>
      <c r="B4" s="65"/>
      <c r="C4" s="323">
        <v>2006</v>
      </c>
      <c r="D4" s="322">
        <f t="shared" ref="D4:S4" si="0">C4+1</f>
        <v>2007</v>
      </c>
      <c r="E4" s="322">
        <f t="shared" si="0"/>
        <v>2008</v>
      </c>
      <c r="F4" s="322">
        <f t="shared" si="0"/>
        <v>2009</v>
      </c>
      <c r="G4" s="468">
        <f t="shared" si="0"/>
        <v>2010</v>
      </c>
      <c r="H4" s="322">
        <f t="shared" si="0"/>
        <v>2011</v>
      </c>
      <c r="I4" s="322">
        <f t="shared" si="0"/>
        <v>2012</v>
      </c>
      <c r="J4" s="329">
        <f t="shared" si="0"/>
        <v>2013</v>
      </c>
      <c r="K4" s="614">
        <f t="shared" si="0"/>
        <v>2014</v>
      </c>
      <c r="L4" s="9">
        <f t="shared" si="0"/>
        <v>2015</v>
      </c>
      <c r="M4" s="677">
        <f t="shared" si="0"/>
        <v>2016</v>
      </c>
      <c r="N4" s="708">
        <f t="shared" si="0"/>
        <v>2017</v>
      </c>
      <c r="O4" s="647">
        <f t="shared" si="0"/>
        <v>2018</v>
      </c>
      <c r="P4" s="647">
        <f t="shared" si="0"/>
        <v>2019</v>
      </c>
      <c r="Q4" s="647">
        <f t="shared" si="0"/>
        <v>2020</v>
      </c>
      <c r="R4" s="647">
        <f t="shared" si="0"/>
        <v>2021</v>
      </c>
      <c r="S4" s="647">
        <f t="shared" si="0"/>
        <v>2022</v>
      </c>
    </row>
    <row r="5" spans="1:20" hidden="1" x14ac:dyDescent="0.2">
      <c r="A5" s="65" t="s">
        <v>110</v>
      </c>
      <c r="B5" s="65"/>
      <c r="C5" s="3">
        <v>38930</v>
      </c>
      <c r="D5" s="3">
        <v>39295</v>
      </c>
      <c r="E5" s="3">
        <v>39661</v>
      </c>
      <c r="F5" s="3">
        <v>40026</v>
      </c>
      <c r="G5" s="3">
        <v>40391</v>
      </c>
      <c r="H5" s="3">
        <v>40756</v>
      </c>
      <c r="I5" s="3">
        <v>41122</v>
      </c>
      <c r="J5" s="330">
        <v>41487</v>
      </c>
      <c r="K5" s="3">
        <v>41852</v>
      </c>
      <c r="L5" s="619">
        <v>41852</v>
      </c>
      <c r="M5" s="678">
        <v>41852</v>
      </c>
      <c r="N5" s="709">
        <v>41852</v>
      </c>
      <c r="O5" s="648">
        <v>41852</v>
      </c>
      <c r="P5" s="648">
        <v>41852</v>
      </c>
      <c r="Q5" s="648">
        <v>41852</v>
      </c>
      <c r="R5" s="648">
        <v>41852</v>
      </c>
      <c r="S5" s="648">
        <v>41852</v>
      </c>
    </row>
    <row r="6" spans="1:20" hidden="1" x14ac:dyDescent="0.2">
      <c r="A6" s="65" t="s">
        <v>111</v>
      </c>
      <c r="B6" s="65"/>
      <c r="C6" s="3">
        <v>39294</v>
      </c>
      <c r="D6" s="3">
        <v>39660</v>
      </c>
      <c r="E6" s="3">
        <v>40025</v>
      </c>
      <c r="F6" s="3">
        <v>40390</v>
      </c>
      <c r="G6" s="3">
        <v>40755</v>
      </c>
      <c r="H6" s="3">
        <v>41121</v>
      </c>
      <c r="I6" s="3">
        <v>41486</v>
      </c>
      <c r="J6" s="330">
        <v>41851</v>
      </c>
      <c r="K6" s="3">
        <v>42216</v>
      </c>
      <c r="L6" s="619">
        <v>42216</v>
      </c>
      <c r="M6" s="678">
        <v>42216</v>
      </c>
      <c r="N6" s="709">
        <v>42216</v>
      </c>
      <c r="O6" s="648">
        <v>42216</v>
      </c>
      <c r="P6" s="648">
        <v>42216</v>
      </c>
      <c r="Q6" s="648">
        <v>42216</v>
      </c>
      <c r="R6" s="648">
        <v>42216</v>
      </c>
      <c r="S6" s="648">
        <v>42216</v>
      </c>
    </row>
    <row r="8" spans="1:20" s="41" customFormat="1" x14ac:dyDescent="0.2">
      <c r="A8" s="40" t="s">
        <v>231</v>
      </c>
      <c r="B8" s="40"/>
      <c r="C8" s="45"/>
      <c r="D8" s="46">
        <f t="shared" ref="D8:H9" si="1">(D22-C22)/C22</f>
        <v>4.869991395553485E-2</v>
      </c>
      <c r="E8" s="46">
        <f t="shared" si="1"/>
        <v>4.2700055794610205E-2</v>
      </c>
      <c r="F8" s="46">
        <f t="shared" si="1"/>
        <v>2.1230007718439872E-2</v>
      </c>
      <c r="G8" s="46">
        <f t="shared" si="1"/>
        <v>2.6800154807149843E-3</v>
      </c>
      <c r="H8" s="46">
        <f t="shared" si="1"/>
        <v>1.1769958771302944E-2</v>
      </c>
      <c r="I8" s="46">
        <f t="shared" ref="I8:S8" si="2">(I22-H22)/H22</f>
        <v>-2.7999220764988769E-3</v>
      </c>
      <c r="J8" s="332">
        <f t="shared" si="2"/>
        <v>2.9499235824532121E-3</v>
      </c>
      <c r="K8" s="46">
        <f t="shared" si="2"/>
        <v>1.3220057238349098E-2</v>
      </c>
      <c r="L8" s="620">
        <f>(L22-K22)/K22</f>
        <v>3.9479932697333138E-2</v>
      </c>
      <c r="M8" s="679">
        <f>(M22-L22)/L22</f>
        <v>2.7200052773894968E-2</v>
      </c>
      <c r="N8" s="710">
        <f t="shared" si="2"/>
        <v>8.9699516444699187E-3</v>
      </c>
      <c r="O8" s="650">
        <f t="shared" si="2"/>
        <v>0</v>
      </c>
      <c r="P8" s="650">
        <f t="shared" si="2"/>
        <v>0</v>
      </c>
      <c r="Q8" s="650">
        <f t="shared" si="2"/>
        <v>0</v>
      </c>
      <c r="R8" s="650">
        <f t="shared" si="2"/>
        <v>0</v>
      </c>
      <c r="S8" s="650">
        <f t="shared" si="2"/>
        <v>0</v>
      </c>
      <c r="T8" s="644"/>
    </row>
    <row r="9" spans="1:20" s="41" customFormat="1" x14ac:dyDescent="0.2">
      <c r="A9" s="40" t="s">
        <v>178</v>
      </c>
      <c r="B9" s="40"/>
      <c r="C9" s="45"/>
      <c r="D9" s="46">
        <f t="shared" si="1"/>
        <v>4.8700031366805896E-2</v>
      </c>
      <c r="E9" s="46">
        <f t="shared" si="1"/>
        <v>3.3300048824186648E-2</v>
      </c>
      <c r="F9" s="46">
        <f t="shared" si="1"/>
        <v>2.8009989255076768E-2</v>
      </c>
      <c r="G9" s="46">
        <f>(G23-F23)/F23</f>
        <v>-1.7900470430715571E-3</v>
      </c>
      <c r="H9" s="46">
        <f>(H23-G23)/G23</f>
        <v>1.2470031545301132E-2</v>
      </c>
      <c r="I9" s="46">
        <f t="shared" ref="I9:S9" si="3">(I23-H23)/H23</f>
        <v>1.1899707194414145E-3</v>
      </c>
      <c r="J9" s="332">
        <f t="shared" si="3"/>
        <v>3.2660515694672099E-2</v>
      </c>
      <c r="K9" s="46">
        <f t="shared" si="3"/>
        <v>3.609966783078854E-3</v>
      </c>
      <c r="L9" s="620">
        <f t="shared" si="3"/>
        <v>3.3169980706445466E-2</v>
      </c>
      <c r="M9" s="679">
        <f t="shared" si="3"/>
        <v>2.4800000822988794E-2</v>
      </c>
      <c r="N9" s="710">
        <f t="shared" si="3"/>
        <v>6.9199775641549796E-3</v>
      </c>
      <c r="O9" s="650">
        <f t="shared" si="3"/>
        <v>0</v>
      </c>
      <c r="P9" s="650">
        <f t="shared" si="3"/>
        <v>0</v>
      </c>
      <c r="Q9" s="650">
        <f t="shared" si="3"/>
        <v>0</v>
      </c>
      <c r="R9" s="650">
        <f t="shared" si="3"/>
        <v>0</v>
      </c>
      <c r="S9" s="650">
        <f t="shared" si="3"/>
        <v>0</v>
      </c>
      <c r="T9" s="644"/>
    </row>
    <row r="10" spans="1:20" s="43" customFormat="1" x14ac:dyDescent="0.2">
      <c r="A10" s="44" t="s">
        <v>159</v>
      </c>
      <c r="B10" s="44"/>
      <c r="C10" s="274">
        <v>38899</v>
      </c>
      <c r="D10" s="274">
        <v>39600</v>
      </c>
      <c r="E10" s="274">
        <v>39965</v>
      </c>
      <c r="F10" s="274">
        <v>40334</v>
      </c>
      <c r="G10" s="274">
        <v>40816</v>
      </c>
      <c r="H10" s="274">
        <v>41172</v>
      </c>
      <c r="I10" s="274">
        <v>41543</v>
      </c>
      <c r="J10" s="333">
        <v>41900</v>
      </c>
      <c r="K10" s="274">
        <v>42262</v>
      </c>
      <c r="L10" s="621">
        <v>42628</v>
      </c>
      <c r="M10" s="680">
        <v>42972</v>
      </c>
      <c r="N10" s="711">
        <v>43009</v>
      </c>
      <c r="O10" s="651">
        <f>N10</f>
        <v>43009</v>
      </c>
      <c r="P10" s="651">
        <f>O10</f>
        <v>43009</v>
      </c>
      <c r="Q10" s="651">
        <f>P10</f>
        <v>43009</v>
      </c>
      <c r="R10" s="651">
        <f>Q10</f>
        <v>43009</v>
      </c>
      <c r="S10" s="651">
        <f>R10</f>
        <v>43009</v>
      </c>
    </row>
    <row r="11" spans="1:20" s="43" customFormat="1" x14ac:dyDescent="0.2">
      <c r="A11" s="44"/>
      <c r="B11" s="44"/>
      <c r="C11" s="42"/>
      <c r="D11" s="42"/>
      <c r="E11" s="42"/>
      <c r="F11" s="42"/>
      <c r="G11" s="42"/>
      <c r="H11" s="42"/>
      <c r="I11" s="42"/>
      <c r="J11" s="334"/>
      <c r="K11" s="42"/>
      <c r="L11" s="622"/>
      <c r="M11" s="681"/>
      <c r="N11" s="712"/>
      <c r="O11" s="652"/>
      <c r="P11" s="652"/>
      <c r="Q11" s="652"/>
      <c r="R11" s="652"/>
      <c r="S11" s="652"/>
    </row>
    <row r="12" spans="1:20" x14ac:dyDescent="0.2">
      <c r="A12" s="599" t="s">
        <v>38</v>
      </c>
      <c r="B12" s="599"/>
      <c r="C12" s="323">
        <v>5.96E-2</v>
      </c>
      <c r="D12" s="323">
        <v>5.96E-2</v>
      </c>
      <c r="E12" s="323">
        <v>5.96E-2</v>
      </c>
      <c r="F12" s="323">
        <v>5.96E-2</v>
      </c>
      <c r="G12" s="323">
        <v>5.9499999999999997E-2</v>
      </c>
      <c r="H12" s="323">
        <f t="shared" ref="H12:S18" si="4">G12</f>
        <v>5.9499999999999997E-2</v>
      </c>
      <c r="I12" s="323">
        <f t="shared" si="4"/>
        <v>5.9499999999999997E-2</v>
      </c>
      <c r="J12" s="327">
        <f t="shared" si="4"/>
        <v>5.9499999999999997E-2</v>
      </c>
      <c r="K12" s="323">
        <f t="shared" si="4"/>
        <v>5.9499999999999997E-2</v>
      </c>
      <c r="L12" s="617">
        <f t="shared" si="4"/>
        <v>5.9499999999999997E-2</v>
      </c>
      <c r="M12" s="675">
        <f t="shared" si="4"/>
        <v>5.9499999999999997E-2</v>
      </c>
      <c r="N12" s="706">
        <f t="shared" si="4"/>
        <v>5.9499999999999997E-2</v>
      </c>
      <c r="O12" s="645">
        <f t="shared" si="4"/>
        <v>5.9499999999999997E-2</v>
      </c>
      <c r="P12" s="645">
        <f t="shared" si="4"/>
        <v>5.9499999999999997E-2</v>
      </c>
      <c r="Q12" s="645">
        <f t="shared" si="4"/>
        <v>5.9499999999999997E-2</v>
      </c>
      <c r="R12" s="645">
        <f t="shared" si="4"/>
        <v>5.9499999999999997E-2</v>
      </c>
      <c r="S12" s="645">
        <f t="shared" si="4"/>
        <v>5.9499999999999997E-2</v>
      </c>
    </row>
    <row r="13" spans="1:20" x14ac:dyDescent="0.2">
      <c r="A13" s="599" t="s">
        <v>39</v>
      </c>
      <c r="B13" s="599"/>
      <c r="C13" s="323">
        <v>4.1500000000000002E-2</v>
      </c>
      <c r="D13" s="323">
        <v>4.1500000000000002E-2</v>
      </c>
      <c r="E13" s="323">
        <v>4.1500000000000002E-2</v>
      </c>
      <c r="F13" s="323">
        <v>4.1500000000000002E-2</v>
      </c>
      <c r="G13" s="323">
        <v>4.1399999999999999E-2</v>
      </c>
      <c r="H13" s="323">
        <f t="shared" si="4"/>
        <v>4.1399999999999999E-2</v>
      </c>
      <c r="I13" s="323">
        <f t="shared" si="4"/>
        <v>4.1399999999999999E-2</v>
      </c>
      <c r="J13" s="327">
        <f t="shared" si="4"/>
        <v>4.1399999999999999E-2</v>
      </c>
      <c r="K13" s="323">
        <f t="shared" si="4"/>
        <v>4.1399999999999999E-2</v>
      </c>
      <c r="L13" s="617">
        <f t="shared" si="4"/>
        <v>4.1399999999999999E-2</v>
      </c>
      <c r="M13" s="675">
        <f t="shared" si="4"/>
        <v>4.1399999999999999E-2</v>
      </c>
      <c r="N13" s="706">
        <f t="shared" si="4"/>
        <v>4.1399999999999999E-2</v>
      </c>
      <c r="O13" s="645">
        <f t="shared" si="4"/>
        <v>4.1399999999999999E-2</v>
      </c>
      <c r="P13" s="645">
        <f t="shared" si="4"/>
        <v>4.1399999999999999E-2</v>
      </c>
      <c r="Q13" s="645">
        <f t="shared" si="4"/>
        <v>4.1399999999999999E-2</v>
      </c>
      <c r="R13" s="645">
        <f t="shared" si="4"/>
        <v>4.1399999999999999E-2</v>
      </c>
      <c r="S13" s="645">
        <f t="shared" si="4"/>
        <v>4.1399999999999999E-2</v>
      </c>
    </row>
    <row r="14" spans="1:20" x14ac:dyDescent="0.2">
      <c r="A14" s="599" t="s">
        <v>112</v>
      </c>
      <c r="B14" s="599"/>
      <c r="C14" s="323">
        <v>5.0299999999999997E-2</v>
      </c>
      <c r="D14" s="323">
        <v>5.0299999999999997E-2</v>
      </c>
      <c r="E14" s="323">
        <v>5.0299999999999997E-2</v>
      </c>
      <c r="F14" s="323">
        <v>5.0299999999999997E-2</v>
      </c>
      <c r="G14" s="323">
        <v>5.0299999999999997E-2</v>
      </c>
      <c r="H14" s="323">
        <f t="shared" si="4"/>
        <v>5.0299999999999997E-2</v>
      </c>
      <c r="I14" s="323">
        <f t="shared" si="4"/>
        <v>5.0299999999999997E-2</v>
      </c>
      <c r="J14" s="327">
        <f t="shared" si="4"/>
        <v>5.0299999999999997E-2</v>
      </c>
      <c r="K14" s="323">
        <f t="shared" si="4"/>
        <v>5.0299999999999997E-2</v>
      </c>
      <c r="L14" s="617">
        <f t="shared" si="4"/>
        <v>5.0299999999999997E-2</v>
      </c>
      <c r="M14" s="675">
        <f t="shared" si="4"/>
        <v>5.0299999999999997E-2</v>
      </c>
      <c r="N14" s="706">
        <f t="shared" si="4"/>
        <v>5.0299999999999997E-2</v>
      </c>
      <c r="O14" s="645">
        <f t="shared" si="4"/>
        <v>5.0299999999999997E-2</v>
      </c>
      <c r="P14" s="645">
        <f t="shared" si="4"/>
        <v>5.0299999999999997E-2</v>
      </c>
      <c r="Q14" s="645">
        <f t="shared" si="4"/>
        <v>5.0299999999999997E-2</v>
      </c>
      <c r="R14" s="645">
        <f t="shared" si="4"/>
        <v>5.0299999999999997E-2</v>
      </c>
      <c r="S14" s="645">
        <f t="shared" si="4"/>
        <v>5.0299999999999997E-2</v>
      </c>
    </row>
    <row r="15" spans="1:20" x14ac:dyDescent="0.2">
      <c r="A15" s="599" t="s">
        <v>113</v>
      </c>
      <c r="B15" s="599"/>
      <c r="C15" s="323">
        <v>2.1507999999999998</v>
      </c>
      <c r="D15" s="323">
        <v>2.1507999999999998</v>
      </c>
      <c r="E15" s="323">
        <v>2.1507999999999998</v>
      </c>
      <c r="F15" s="323">
        <v>2.1507999999999998</v>
      </c>
      <c r="G15" s="323">
        <v>2.1507999999999998</v>
      </c>
      <c r="H15" s="323">
        <f t="shared" si="4"/>
        <v>2.1507999999999998</v>
      </c>
      <c r="I15" s="323">
        <f t="shared" si="4"/>
        <v>2.1507999999999998</v>
      </c>
      <c r="J15" s="327">
        <f t="shared" si="4"/>
        <v>2.1507999999999998</v>
      </c>
      <c r="K15" s="323">
        <f t="shared" si="4"/>
        <v>2.1507999999999998</v>
      </c>
      <c r="L15" s="617">
        <f t="shared" si="4"/>
        <v>2.1507999999999998</v>
      </c>
      <c r="M15" s="675">
        <f t="shared" si="4"/>
        <v>2.1507999999999998</v>
      </c>
      <c r="N15" s="706">
        <f t="shared" si="4"/>
        <v>2.1507999999999998</v>
      </c>
      <c r="O15" s="645">
        <f t="shared" si="4"/>
        <v>2.1507999999999998</v>
      </c>
      <c r="P15" s="645">
        <f t="shared" si="4"/>
        <v>2.1507999999999998</v>
      </c>
      <c r="Q15" s="645">
        <f t="shared" si="4"/>
        <v>2.1507999999999998</v>
      </c>
      <c r="R15" s="645">
        <f t="shared" si="4"/>
        <v>2.1507999999999998</v>
      </c>
      <c r="S15" s="645">
        <f t="shared" si="4"/>
        <v>2.1507999999999998</v>
      </c>
    </row>
    <row r="16" spans="1:20" x14ac:dyDescent="0.2">
      <c r="A16" s="599" t="s">
        <v>114</v>
      </c>
      <c r="B16" s="599"/>
      <c r="C16" s="323">
        <v>1.49E-2</v>
      </c>
      <c r="D16" s="323">
        <v>1.49E-2</v>
      </c>
      <c r="E16" s="323">
        <v>1.49E-2</v>
      </c>
      <c r="F16" s="323">
        <v>1.49E-2</v>
      </c>
      <c r="G16" s="323">
        <v>1.49E-2</v>
      </c>
      <c r="H16" s="323">
        <f t="shared" si="4"/>
        <v>1.49E-2</v>
      </c>
      <c r="I16" s="323">
        <f t="shared" si="4"/>
        <v>1.49E-2</v>
      </c>
      <c r="J16" s="327">
        <f t="shared" si="4"/>
        <v>1.49E-2</v>
      </c>
      <c r="K16" s="323">
        <f t="shared" si="4"/>
        <v>1.49E-2</v>
      </c>
      <c r="L16" s="617">
        <f t="shared" si="4"/>
        <v>1.49E-2</v>
      </c>
      <c r="M16" s="675">
        <f t="shared" si="4"/>
        <v>1.49E-2</v>
      </c>
      <c r="N16" s="706">
        <f t="shared" si="4"/>
        <v>1.49E-2</v>
      </c>
      <c r="O16" s="645">
        <f t="shared" si="4"/>
        <v>1.49E-2</v>
      </c>
      <c r="P16" s="645">
        <f t="shared" si="4"/>
        <v>1.49E-2</v>
      </c>
      <c r="Q16" s="645">
        <f t="shared" si="4"/>
        <v>1.49E-2</v>
      </c>
      <c r="R16" s="645">
        <f t="shared" si="4"/>
        <v>1.49E-2</v>
      </c>
      <c r="S16" s="645">
        <f t="shared" si="4"/>
        <v>1.49E-2</v>
      </c>
    </row>
    <row r="17" spans="1:21" x14ac:dyDescent="0.2">
      <c r="A17" s="5" t="s">
        <v>95</v>
      </c>
      <c r="B17" s="599"/>
      <c r="C17" s="323">
        <v>2.6926999999999999</v>
      </c>
      <c r="D17" s="323">
        <v>2.6926999999999999</v>
      </c>
      <c r="E17" s="323">
        <v>2.6926999999999999</v>
      </c>
      <c r="F17" s="323">
        <v>2.6926999999999999</v>
      </c>
      <c r="G17" s="323">
        <v>2.6926999999999999</v>
      </c>
      <c r="H17" s="323">
        <f t="shared" si="4"/>
        <v>2.6926999999999999</v>
      </c>
      <c r="I17" s="323">
        <f t="shared" si="4"/>
        <v>2.6926999999999999</v>
      </c>
      <c r="J17" s="327">
        <f t="shared" si="4"/>
        <v>2.6926999999999999</v>
      </c>
      <c r="K17" s="323">
        <f t="shared" si="4"/>
        <v>2.6926999999999999</v>
      </c>
      <c r="L17" s="617">
        <f t="shared" si="4"/>
        <v>2.6926999999999999</v>
      </c>
      <c r="M17" s="675">
        <f t="shared" si="4"/>
        <v>2.6926999999999999</v>
      </c>
      <c r="N17" s="706">
        <f t="shared" si="4"/>
        <v>2.6926999999999999</v>
      </c>
      <c r="O17" s="645">
        <f t="shared" si="4"/>
        <v>2.6926999999999999</v>
      </c>
      <c r="P17" s="645">
        <f t="shared" si="4"/>
        <v>2.6926999999999999</v>
      </c>
      <c r="Q17" s="645">
        <f t="shared" si="4"/>
        <v>2.6926999999999999</v>
      </c>
      <c r="R17" s="645">
        <f t="shared" si="4"/>
        <v>2.6926999999999999</v>
      </c>
      <c r="S17" s="645">
        <f t="shared" si="4"/>
        <v>2.6926999999999999</v>
      </c>
    </row>
    <row r="18" spans="1:21" x14ac:dyDescent="0.2">
      <c r="A18" s="599" t="s">
        <v>115</v>
      </c>
      <c r="B18" s="599"/>
      <c r="C18" s="323">
        <v>6.54E-2</v>
      </c>
      <c r="D18" s="323">
        <v>6.54E-2</v>
      </c>
      <c r="E18" s="323">
        <v>6.54E-2</v>
      </c>
      <c r="F18" s="323">
        <v>6.54E-2</v>
      </c>
      <c r="G18" s="323">
        <v>6.54E-2</v>
      </c>
      <c r="H18" s="323">
        <f t="shared" si="4"/>
        <v>6.54E-2</v>
      </c>
      <c r="I18" s="323">
        <f t="shared" si="4"/>
        <v>6.54E-2</v>
      </c>
      <c r="J18" s="327">
        <f t="shared" si="4"/>
        <v>6.54E-2</v>
      </c>
      <c r="K18" s="323">
        <f t="shared" si="4"/>
        <v>6.54E-2</v>
      </c>
      <c r="L18" s="617">
        <f t="shared" si="4"/>
        <v>6.54E-2</v>
      </c>
      <c r="M18" s="675">
        <f t="shared" si="4"/>
        <v>6.54E-2</v>
      </c>
      <c r="N18" s="706">
        <f t="shared" si="4"/>
        <v>6.54E-2</v>
      </c>
      <c r="O18" s="645">
        <f t="shared" si="4"/>
        <v>6.54E-2</v>
      </c>
      <c r="P18" s="645">
        <f t="shared" si="4"/>
        <v>6.54E-2</v>
      </c>
      <c r="Q18" s="645">
        <f t="shared" si="4"/>
        <v>6.54E-2</v>
      </c>
      <c r="R18" s="645">
        <f t="shared" si="4"/>
        <v>6.54E-2</v>
      </c>
      <c r="S18" s="645">
        <f t="shared" si="4"/>
        <v>6.54E-2</v>
      </c>
    </row>
    <row r="19" spans="1:21" s="43" customFormat="1" x14ac:dyDescent="0.2">
      <c r="A19" s="43" t="s">
        <v>315</v>
      </c>
      <c r="C19" s="641"/>
      <c r="D19" s="294">
        <f t="shared" ref="D19:S19" si="5">D22-C22</f>
        <v>2486.9399999999951</v>
      </c>
      <c r="E19" s="294">
        <f t="shared" si="5"/>
        <v>2286.7400000000052</v>
      </c>
      <c r="F19" s="294">
        <f t="shared" si="5"/>
        <v>1185.489999999998</v>
      </c>
      <c r="G19" s="294">
        <f t="shared" si="5"/>
        <v>152.83000000000175</v>
      </c>
      <c r="H19" s="294">
        <f t="shared" si="5"/>
        <v>672.98999999999796</v>
      </c>
      <c r="I19" s="294">
        <f t="shared" si="5"/>
        <v>-161.9800000000032</v>
      </c>
      <c r="J19" s="294">
        <f t="shared" si="5"/>
        <v>170.18000000000029</v>
      </c>
      <c r="K19" s="294">
        <f t="shared" si="5"/>
        <v>764.91000000000349</v>
      </c>
      <c r="L19" s="642">
        <f t="shared" si="5"/>
        <v>2314.5</v>
      </c>
      <c r="M19" s="682">
        <f t="shared" si="5"/>
        <v>1657.5499999999956</v>
      </c>
      <c r="N19" s="653">
        <f t="shared" si="5"/>
        <v>561.49000000000524</v>
      </c>
      <c r="O19" s="653">
        <f t="shared" si="5"/>
        <v>0</v>
      </c>
      <c r="P19" s="653">
        <f t="shared" si="5"/>
        <v>0</v>
      </c>
      <c r="Q19" s="653">
        <f t="shared" si="5"/>
        <v>0</v>
      </c>
      <c r="R19" s="653">
        <f t="shared" si="5"/>
        <v>0</v>
      </c>
      <c r="S19" s="653">
        <f t="shared" si="5"/>
        <v>0</v>
      </c>
    </row>
    <row r="20" spans="1:21" s="289" customFormat="1" x14ac:dyDescent="0.2">
      <c r="C20" s="290"/>
      <c r="D20" s="351"/>
      <c r="E20" s="351"/>
      <c r="F20" s="351"/>
      <c r="G20" s="294"/>
      <c r="H20" s="351"/>
      <c r="I20" s="294"/>
      <c r="J20" s="351"/>
      <c r="K20" s="294"/>
      <c r="L20" s="62"/>
      <c r="M20" s="683"/>
      <c r="N20" s="654"/>
      <c r="O20" s="654"/>
      <c r="P20" s="654"/>
      <c r="Q20" s="654"/>
      <c r="R20" s="654"/>
      <c r="S20" s="654"/>
    </row>
    <row r="21" spans="1:21" x14ac:dyDescent="0.2">
      <c r="A21" s="5" t="s">
        <v>145</v>
      </c>
      <c r="C21" s="553">
        <v>40.26</v>
      </c>
      <c r="D21" s="553">
        <v>40.25</v>
      </c>
      <c r="E21" s="553">
        <v>40.200000000000003</v>
      </c>
      <c r="F21" s="553">
        <v>40.14</v>
      </c>
      <c r="G21" s="553">
        <v>40.14</v>
      </c>
      <c r="H21" s="553">
        <v>40.26</v>
      </c>
      <c r="I21" s="553">
        <v>40.4</v>
      </c>
      <c r="J21" s="554">
        <v>40.43</v>
      </c>
      <c r="K21" s="553">
        <v>40.630000000000003</v>
      </c>
      <c r="L21" s="623">
        <v>40.57</v>
      </c>
      <c r="M21" s="684">
        <v>40.4</v>
      </c>
      <c r="N21" s="713">
        <v>40.19</v>
      </c>
      <c r="O21" s="655">
        <f t="shared" ref="O21:S26" si="6">N21</f>
        <v>40.19</v>
      </c>
      <c r="P21" s="655">
        <f t="shared" si="6"/>
        <v>40.19</v>
      </c>
      <c r="Q21" s="655">
        <f t="shared" si="6"/>
        <v>40.19</v>
      </c>
      <c r="R21" s="655">
        <f t="shared" si="6"/>
        <v>40.19</v>
      </c>
      <c r="S21" s="655">
        <f t="shared" si="6"/>
        <v>40.19</v>
      </c>
    </row>
    <row r="22" spans="1:21" x14ac:dyDescent="0.2">
      <c r="A22" s="5" t="s">
        <v>146</v>
      </c>
      <c r="B22" s="65"/>
      <c r="C22" s="555">
        <v>51066.62</v>
      </c>
      <c r="D22" s="555">
        <v>53553.56</v>
      </c>
      <c r="E22" s="555">
        <v>55840.3</v>
      </c>
      <c r="F22" s="555">
        <v>57025.79</v>
      </c>
      <c r="G22" s="555">
        <v>57178.62</v>
      </c>
      <c r="H22" s="555">
        <v>57851.61</v>
      </c>
      <c r="I22" s="555">
        <v>57689.63</v>
      </c>
      <c r="J22" s="556">
        <v>57859.81</v>
      </c>
      <c r="K22" s="555">
        <v>58624.72</v>
      </c>
      <c r="L22" s="563">
        <v>60939.22</v>
      </c>
      <c r="M22" s="685">
        <v>62596.77</v>
      </c>
      <c r="N22" s="714">
        <v>63158.26</v>
      </c>
      <c r="O22" s="656">
        <f t="shared" si="6"/>
        <v>63158.26</v>
      </c>
      <c r="P22" s="656">
        <f t="shared" si="6"/>
        <v>63158.26</v>
      </c>
      <c r="Q22" s="656">
        <f t="shared" si="6"/>
        <v>63158.26</v>
      </c>
      <c r="R22" s="656">
        <f t="shared" si="6"/>
        <v>63158.26</v>
      </c>
      <c r="S22" s="656">
        <f t="shared" si="6"/>
        <v>63158.26</v>
      </c>
      <c r="T22" s="598"/>
      <c r="U22" s="611"/>
    </row>
    <row r="23" spans="1:21" x14ac:dyDescent="0.2">
      <c r="A23" s="65" t="s">
        <v>83</v>
      </c>
      <c r="C23" s="555">
        <v>64431.17</v>
      </c>
      <c r="D23" s="555">
        <v>67568.97</v>
      </c>
      <c r="E23" s="555">
        <v>69819.02</v>
      </c>
      <c r="F23" s="555">
        <v>71774.649999999994</v>
      </c>
      <c r="G23" s="555">
        <v>71646.17</v>
      </c>
      <c r="H23" s="555">
        <v>72539.600000000006</v>
      </c>
      <c r="I23" s="555">
        <v>72625.919999999998</v>
      </c>
      <c r="J23" s="556">
        <v>74997.919999999998</v>
      </c>
      <c r="K23" s="555">
        <v>75268.66</v>
      </c>
      <c r="L23" s="563">
        <v>77765.320000000007</v>
      </c>
      <c r="M23" s="685">
        <v>79693.899999999994</v>
      </c>
      <c r="N23" s="714">
        <v>80245.38</v>
      </c>
      <c r="O23" s="656">
        <f t="shared" si="6"/>
        <v>80245.38</v>
      </c>
      <c r="P23" s="656">
        <f t="shared" si="6"/>
        <v>80245.38</v>
      </c>
      <c r="Q23" s="656">
        <f t="shared" si="6"/>
        <v>80245.38</v>
      </c>
      <c r="R23" s="656">
        <f t="shared" si="6"/>
        <v>80245.38</v>
      </c>
      <c r="S23" s="656">
        <f t="shared" si="6"/>
        <v>80245.38</v>
      </c>
      <c r="U23" s="611"/>
    </row>
    <row r="24" spans="1:21" x14ac:dyDescent="0.2">
      <c r="A24" s="5" t="s">
        <v>147</v>
      </c>
      <c r="C24" s="555">
        <v>24475.8</v>
      </c>
      <c r="D24" s="555">
        <v>25671.09</v>
      </c>
      <c r="E24" s="555">
        <v>26784.57</v>
      </c>
      <c r="F24" s="555">
        <v>27374.47</v>
      </c>
      <c r="G24" s="555">
        <v>27447.83</v>
      </c>
      <c r="H24" s="555">
        <v>27727.79</v>
      </c>
      <c r="I24" s="555">
        <v>27600.18</v>
      </c>
      <c r="J24" s="556">
        <v>27670.880000000001</v>
      </c>
      <c r="K24" s="555">
        <v>27964.51</v>
      </c>
      <c r="L24" s="563">
        <v>29091.02</v>
      </c>
      <c r="M24" s="685">
        <v>29947.88</v>
      </c>
      <c r="N24" s="714">
        <v>30298.66</v>
      </c>
      <c r="O24" s="656">
        <f t="shared" si="6"/>
        <v>30298.66</v>
      </c>
      <c r="P24" s="656">
        <f t="shared" si="6"/>
        <v>30298.66</v>
      </c>
      <c r="Q24" s="656">
        <f t="shared" si="6"/>
        <v>30298.66</v>
      </c>
      <c r="R24" s="656">
        <f t="shared" si="6"/>
        <v>30298.66</v>
      </c>
      <c r="S24" s="656">
        <f t="shared" si="6"/>
        <v>30298.66</v>
      </c>
      <c r="U24" s="611"/>
    </row>
    <row r="25" spans="1:21" x14ac:dyDescent="0.2">
      <c r="A25" s="5" t="s">
        <v>148</v>
      </c>
      <c r="C25" s="555">
        <v>660.51</v>
      </c>
      <c r="D25" s="555">
        <v>692.73</v>
      </c>
      <c r="E25" s="555">
        <v>722.78</v>
      </c>
      <c r="F25" s="555">
        <v>738.7</v>
      </c>
      <c r="G25" s="555">
        <v>740.68</v>
      </c>
      <c r="H25" s="555">
        <v>748.23</v>
      </c>
      <c r="I25" s="555">
        <v>744.79</v>
      </c>
      <c r="J25" s="556">
        <v>746.7</v>
      </c>
      <c r="K25" s="555">
        <v>754.62</v>
      </c>
      <c r="L25" s="563">
        <v>785.02</v>
      </c>
      <c r="M25" s="685">
        <v>808.14</v>
      </c>
      <c r="N25" s="714">
        <v>817.61</v>
      </c>
      <c r="O25" s="656">
        <f t="shared" si="6"/>
        <v>817.61</v>
      </c>
      <c r="P25" s="656">
        <f t="shared" si="6"/>
        <v>817.61</v>
      </c>
      <c r="Q25" s="656">
        <f t="shared" si="6"/>
        <v>817.61</v>
      </c>
      <c r="R25" s="656">
        <f t="shared" si="6"/>
        <v>817.61</v>
      </c>
      <c r="S25" s="656">
        <f t="shared" si="6"/>
        <v>817.61</v>
      </c>
      <c r="U25" s="611"/>
    </row>
    <row r="26" spans="1:21" x14ac:dyDescent="0.2">
      <c r="A26" s="7" t="s">
        <v>176</v>
      </c>
      <c r="C26" s="62">
        <f>+C23-C22</f>
        <v>13364.549999999996</v>
      </c>
      <c r="D26" s="62">
        <f>+D23-D22</f>
        <v>14015.410000000003</v>
      </c>
      <c r="E26" s="557">
        <v>17069.72</v>
      </c>
      <c r="F26" s="557">
        <v>17836.86</v>
      </c>
      <c r="G26" s="557">
        <v>17790.55</v>
      </c>
      <c r="H26" s="557">
        <v>17791.990000000002</v>
      </c>
      <c r="I26" s="557">
        <v>17507.29</v>
      </c>
      <c r="J26" s="558">
        <v>19704.11</v>
      </c>
      <c r="K26" s="557">
        <v>19218.939999999999</v>
      </c>
      <c r="L26" s="624">
        <v>19487.099999999999</v>
      </c>
      <c r="M26" s="686">
        <v>19824.13</v>
      </c>
      <c r="N26" s="715">
        <v>19832.12</v>
      </c>
      <c r="O26" s="657">
        <f t="shared" si="6"/>
        <v>19832.12</v>
      </c>
      <c r="P26" s="657">
        <f t="shared" si="6"/>
        <v>19832.12</v>
      </c>
      <c r="Q26" s="657">
        <f t="shared" si="6"/>
        <v>19832.12</v>
      </c>
      <c r="R26" s="657">
        <f t="shared" si="6"/>
        <v>19832.12</v>
      </c>
      <c r="S26" s="657">
        <f t="shared" si="6"/>
        <v>19832.12</v>
      </c>
      <c r="U26" s="611"/>
    </row>
    <row r="27" spans="1:21" x14ac:dyDescent="0.2">
      <c r="A27" s="7" t="s">
        <v>177</v>
      </c>
      <c r="C27" s="63">
        <f>+C26*2</f>
        <v>26729.099999999991</v>
      </c>
      <c r="D27" s="63">
        <f>+D26*2</f>
        <v>28030.820000000007</v>
      </c>
      <c r="E27" s="39">
        <f t="shared" ref="E27:I27" si="7">(E42*2)+E43</f>
        <v>31048.440000000002</v>
      </c>
      <c r="F27" s="39">
        <f t="shared" si="7"/>
        <v>32585.719999999994</v>
      </c>
      <c r="G27" s="39">
        <f t="shared" si="7"/>
        <v>32258.099999999995</v>
      </c>
      <c r="H27" s="39">
        <f t="shared" si="7"/>
        <v>32479.980000000007</v>
      </c>
      <c r="I27" s="39">
        <f t="shared" si="7"/>
        <v>32443.58</v>
      </c>
      <c r="J27" s="336">
        <f t="shared" ref="J27:O27" si="8">(J42*2)+J43</f>
        <v>36842.22</v>
      </c>
      <c r="K27" s="39">
        <f t="shared" si="8"/>
        <v>35862.880000000005</v>
      </c>
      <c r="L27" s="625">
        <f t="shared" si="8"/>
        <v>36313.200000000004</v>
      </c>
      <c r="M27" s="687">
        <f t="shared" si="8"/>
        <v>36921.259999999995</v>
      </c>
      <c r="N27" s="716">
        <f t="shared" si="8"/>
        <v>36919.240000000005</v>
      </c>
      <c r="O27" s="658">
        <f t="shared" si="8"/>
        <v>36919.240000000005</v>
      </c>
      <c r="P27" s="658">
        <f t="shared" ref="P27:Q27" si="9">(P42*2)+P43</f>
        <v>36919.240000000005</v>
      </c>
      <c r="Q27" s="658">
        <f t="shared" si="9"/>
        <v>36919.240000000005</v>
      </c>
      <c r="R27" s="658">
        <f t="shared" ref="R27:S27" si="10">(R42*2)+R43</f>
        <v>36919.240000000005</v>
      </c>
      <c r="S27" s="658">
        <f t="shared" si="10"/>
        <v>36919.240000000005</v>
      </c>
      <c r="U27" s="611"/>
    </row>
    <row r="29" spans="1:21" x14ac:dyDescent="0.2">
      <c r="A29" s="7" t="s">
        <v>40</v>
      </c>
      <c r="B29" s="66"/>
      <c r="C29" s="34">
        <f>ROUND(tabpers!C24*tabpers!C12,2)</f>
        <v>1458.76</v>
      </c>
      <c r="D29" s="34">
        <f>ROUND(tabpers!D24*tabpers!D12,2)</f>
        <v>1530</v>
      </c>
      <c r="E29" s="34">
        <f>ROUND(tabpers!E24*tabpers!E12,2)</f>
        <v>1596.36</v>
      </c>
      <c r="F29" s="34">
        <f>ROUND(tabpers!F24*tabpers!F12,2)</f>
        <v>1631.52</v>
      </c>
      <c r="G29" s="34">
        <f>ROUND(tabpers!G24*tabpers!G12,2)</f>
        <v>1633.15</v>
      </c>
      <c r="H29" s="34">
        <f>ROUND(tabpers!H24*tabpers!H12,2)</f>
        <v>1649.8</v>
      </c>
      <c r="I29" s="34">
        <f>ROUND(tabpers!I24*tabpers!I12,2)</f>
        <v>1642.21</v>
      </c>
      <c r="J29" s="337">
        <f>ROUND(tabpers!J24*tabpers!J12,2)</f>
        <v>1646.42</v>
      </c>
      <c r="K29" s="34">
        <f>ROUND(tabpers!K24*tabpers!K12,2)</f>
        <v>1663.89</v>
      </c>
      <c r="L29" s="626">
        <f>ROUND(tabpers!L24*tabpers!L12,2)</f>
        <v>1730.92</v>
      </c>
      <c r="M29" s="688">
        <f>ROUND(tabpers!M24*tabpers!M12,2)</f>
        <v>1781.9</v>
      </c>
      <c r="N29" s="717">
        <f>ROUND(tabpers!N24*tabpers!N12,2)</f>
        <v>1802.77</v>
      </c>
      <c r="O29" s="659">
        <f>ROUND(tabpers!O24*tabpers!O12,2)</f>
        <v>1802.77</v>
      </c>
      <c r="P29" s="659">
        <f>ROUND(tabpers!P24*tabpers!P12,2)</f>
        <v>1802.77</v>
      </c>
      <c r="Q29" s="659">
        <f>ROUND(tabpers!Q24*tabpers!Q12,2)</f>
        <v>1802.77</v>
      </c>
      <c r="R29" s="659">
        <f>ROUND(tabpers!R24*tabpers!R12,2)</f>
        <v>1802.77</v>
      </c>
      <c r="S29" s="659">
        <f>ROUND(tabpers!S24*tabpers!S12,2)</f>
        <v>1802.77</v>
      </c>
      <c r="U29" s="611"/>
    </row>
    <row r="30" spans="1:21" x14ac:dyDescent="0.2">
      <c r="A30" s="7" t="s">
        <v>41</v>
      </c>
      <c r="B30" s="66"/>
      <c r="C30" s="34">
        <f>ROUND(tabpers!C12*tabpers!C25,2)</f>
        <v>39.369999999999997</v>
      </c>
      <c r="D30" s="34">
        <f>ROUND(tabpers!D12*tabpers!D25,2)</f>
        <v>41.29</v>
      </c>
      <c r="E30" s="34">
        <f>ROUND(tabpers!E12*tabpers!E25,2)</f>
        <v>43.08</v>
      </c>
      <c r="F30" s="34">
        <f>ROUND(tabpers!F12*tabpers!F25,2)</f>
        <v>44.03</v>
      </c>
      <c r="G30" s="34">
        <f>ROUND(tabpers!G12*tabpers!G25,2)</f>
        <v>44.07</v>
      </c>
      <c r="H30" s="34">
        <f>ROUND(tabpers!H12*tabpers!H25,2)</f>
        <v>44.52</v>
      </c>
      <c r="I30" s="34">
        <f>ROUND(tabpers!I12*tabpers!I25,2)</f>
        <v>44.32</v>
      </c>
      <c r="J30" s="337">
        <f>ROUND(tabpers!J12*tabpers!J25,2)</f>
        <v>44.43</v>
      </c>
      <c r="K30" s="34">
        <f>ROUND(tabpers!K12*tabpers!K25,2)</f>
        <v>44.9</v>
      </c>
      <c r="L30" s="626">
        <f>ROUND(tabpers!L12*tabpers!L25,2)</f>
        <v>46.71</v>
      </c>
      <c r="M30" s="688">
        <f>ROUND(tabpers!M12*tabpers!M25,2)</f>
        <v>48.08</v>
      </c>
      <c r="N30" s="717">
        <f>ROUND(tabpers!N12*tabpers!N25,2)</f>
        <v>48.65</v>
      </c>
      <c r="O30" s="659">
        <f>ROUND(tabpers!O12*tabpers!O25,2)</f>
        <v>48.65</v>
      </c>
      <c r="P30" s="659">
        <f>ROUND(tabpers!P12*tabpers!P25,2)</f>
        <v>48.65</v>
      </c>
      <c r="Q30" s="659">
        <f>ROUND(tabpers!Q12*tabpers!Q25,2)</f>
        <v>48.65</v>
      </c>
      <c r="R30" s="659">
        <f>ROUND(tabpers!R12*tabpers!R25,2)</f>
        <v>48.65</v>
      </c>
      <c r="S30" s="659">
        <f>ROUND(tabpers!S12*tabpers!S25,2)</f>
        <v>48.65</v>
      </c>
      <c r="U30" s="611"/>
    </row>
    <row r="31" spans="1:21" x14ac:dyDescent="0.2">
      <c r="A31" s="7" t="s">
        <v>42</v>
      </c>
      <c r="B31" s="66"/>
      <c r="C31" s="34">
        <f>ROUND(tabpers!C24*tabpers!C13,2)</f>
        <v>1015.75</v>
      </c>
      <c r="D31" s="34">
        <f>ROUND(tabpers!D24*tabpers!D13,2)</f>
        <v>1065.3499999999999</v>
      </c>
      <c r="E31" s="34">
        <f>ROUND(tabpers!E24*tabpers!E13,2)</f>
        <v>1111.56</v>
      </c>
      <c r="F31" s="34">
        <f>ROUND(tabpers!F24*tabpers!F13,2)</f>
        <v>1136.04</v>
      </c>
      <c r="G31" s="34">
        <f>ROUND(tabpers!G24*tabpers!G13,2)</f>
        <v>1136.3399999999999</v>
      </c>
      <c r="H31" s="34">
        <f>ROUND(tabpers!H24*tabpers!H13,2)</f>
        <v>1147.93</v>
      </c>
      <c r="I31" s="34">
        <f>ROUND(tabpers!I24*tabpers!I13,2)</f>
        <v>1142.6500000000001</v>
      </c>
      <c r="J31" s="337">
        <f>ROUND(tabpers!J24*tabpers!J13,2)</f>
        <v>1145.57</v>
      </c>
      <c r="K31" s="34">
        <f>ROUND(tabpers!K24*tabpers!K13,2)</f>
        <v>1157.73</v>
      </c>
      <c r="L31" s="626">
        <f>ROUND(tabpers!L24*tabpers!L13,2)</f>
        <v>1204.3699999999999</v>
      </c>
      <c r="M31" s="688">
        <f>ROUND(tabpers!M24*tabpers!M13,2)</f>
        <v>1239.8399999999999</v>
      </c>
      <c r="N31" s="717">
        <f>ROUND(tabpers!N24*tabpers!N13,2)</f>
        <v>1254.3599999999999</v>
      </c>
      <c r="O31" s="659">
        <f>ROUND(tabpers!O24*tabpers!O13,2)</f>
        <v>1254.3599999999999</v>
      </c>
      <c r="P31" s="659">
        <f>ROUND(tabpers!P24*tabpers!P13,2)</f>
        <v>1254.3599999999999</v>
      </c>
      <c r="Q31" s="659">
        <f>ROUND(tabpers!Q24*tabpers!Q13,2)</f>
        <v>1254.3599999999999</v>
      </c>
      <c r="R31" s="659">
        <f>ROUND(tabpers!R24*tabpers!R13,2)</f>
        <v>1254.3599999999999</v>
      </c>
      <c r="S31" s="659">
        <f>ROUND(tabpers!S24*tabpers!S13,2)</f>
        <v>1254.3599999999999</v>
      </c>
      <c r="U31" s="611"/>
    </row>
    <row r="32" spans="1:21" x14ac:dyDescent="0.2">
      <c r="A32" s="7" t="s">
        <v>43</v>
      </c>
      <c r="B32" s="66"/>
      <c r="C32" s="34">
        <f>ROUND(tabpers!C13*tabpers!C25,2)</f>
        <v>27.41</v>
      </c>
      <c r="D32" s="34">
        <f>ROUND(tabpers!D13*tabpers!D25,2)</f>
        <v>28.75</v>
      </c>
      <c r="E32" s="34">
        <f>ROUND(tabpers!E13*tabpers!E25,2)</f>
        <v>30</v>
      </c>
      <c r="F32" s="34">
        <f>ROUND(tabpers!F13*tabpers!F25,2)</f>
        <v>30.66</v>
      </c>
      <c r="G32" s="34">
        <f>ROUND(tabpers!G13*tabpers!G25,2)</f>
        <v>30.66</v>
      </c>
      <c r="H32" s="34">
        <f>ROUND(tabpers!H13*tabpers!H25,2)</f>
        <v>30.98</v>
      </c>
      <c r="I32" s="34">
        <f>ROUND(tabpers!I13*tabpers!I25,2)</f>
        <v>30.83</v>
      </c>
      <c r="J32" s="337">
        <f>ROUND(tabpers!J13*tabpers!J25,2)</f>
        <v>30.91</v>
      </c>
      <c r="K32" s="34">
        <f>ROUND(tabpers!K13*tabpers!K25,2)</f>
        <v>31.24</v>
      </c>
      <c r="L32" s="626">
        <f>ROUND(tabpers!L13*tabpers!L25,2)</f>
        <v>32.5</v>
      </c>
      <c r="M32" s="688">
        <f>ROUND(tabpers!M13*tabpers!M25,2)</f>
        <v>33.46</v>
      </c>
      <c r="N32" s="717">
        <f>ROUND(tabpers!N13*tabpers!N25,2)</f>
        <v>33.85</v>
      </c>
      <c r="O32" s="659">
        <f>ROUND(tabpers!O13*tabpers!O25,2)</f>
        <v>33.85</v>
      </c>
      <c r="P32" s="659">
        <f>ROUND(tabpers!P13*tabpers!P25,2)</f>
        <v>33.85</v>
      </c>
      <c r="Q32" s="659">
        <f>ROUND(tabpers!Q13*tabpers!Q25,2)</f>
        <v>33.85</v>
      </c>
      <c r="R32" s="659">
        <f>ROUND(tabpers!R13*tabpers!R25,2)</f>
        <v>33.85</v>
      </c>
      <c r="S32" s="659">
        <f>ROUND(tabpers!S13*tabpers!S25,2)</f>
        <v>33.85</v>
      </c>
      <c r="U32" s="611"/>
    </row>
    <row r="33" spans="1:21" x14ac:dyDescent="0.2">
      <c r="A33" s="7" t="s">
        <v>49</v>
      </c>
      <c r="B33" s="9"/>
      <c r="C33" s="34">
        <f>ROUND(tabpers!C24*tabpers!C14,2)</f>
        <v>1231.1300000000001</v>
      </c>
      <c r="D33" s="34">
        <f>ROUND(tabpers!D24*tabpers!D14,2)</f>
        <v>1291.26</v>
      </c>
      <c r="E33" s="34">
        <f>ROUND(tabpers!E24*tabpers!E14,2)</f>
        <v>1347.26</v>
      </c>
      <c r="F33" s="34">
        <f>ROUND(tabpers!F24*tabpers!F14,2)</f>
        <v>1376.94</v>
      </c>
      <c r="G33" s="34">
        <f>ROUND(tabpers!G24*tabpers!G14,2)</f>
        <v>1380.63</v>
      </c>
      <c r="H33" s="34">
        <f>ROUND(tabpers!H24*tabpers!H14,2)</f>
        <v>1394.71</v>
      </c>
      <c r="I33" s="34">
        <f>ROUND(tabpers!I24*tabpers!I14,2)</f>
        <v>1388.29</v>
      </c>
      <c r="J33" s="337">
        <f>ROUND(tabpers!J24*tabpers!J14,2)</f>
        <v>1391.85</v>
      </c>
      <c r="K33" s="34">
        <f>ROUND(tabpers!K24*tabpers!K14,2)</f>
        <v>1406.61</v>
      </c>
      <c r="L33" s="626">
        <f>ROUND(tabpers!L24*tabpers!L14,2)</f>
        <v>1463.28</v>
      </c>
      <c r="M33" s="688">
        <f>ROUND(tabpers!M24*tabpers!M14,2)</f>
        <v>1506.38</v>
      </c>
      <c r="N33" s="717">
        <f>ROUND(tabpers!N24*tabpers!N14,2)</f>
        <v>1524.02</v>
      </c>
      <c r="O33" s="659">
        <f>ROUND(tabpers!O24*tabpers!O14,2)</f>
        <v>1524.02</v>
      </c>
      <c r="P33" s="659">
        <f>ROUND(tabpers!P24*tabpers!P14,2)</f>
        <v>1524.02</v>
      </c>
      <c r="Q33" s="659">
        <f>ROUND(tabpers!Q24*tabpers!Q14,2)</f>
        <v>1524.02</v>
      </c>
      <c r="R33" s="659">
        <f>ROUND(tabpers!R24*tabpers!R14,2)</f>
        <v>1524.02</v>
      </c>
      <c r="S33" s="659">
        <f>ROUND(tabpers!S24*tabpers!S14,2)</f>
        <v>1524.02</v>
      </c>
      <c r="U33" s="611"/>
    </row>
    <row r="34" spans="1:21" x14ac:dyDescent="0.2">
      <c r="A34" s="7" t="s">
        <v>50</v>
      </c>
      <c r="B34" s="9"/>
      <c r="C34" s="34">
        <f>ROUND(tabpers!C14*tabpers!C25,2)</f>
        <v>33.22</v>
      </c>
      <c r="D34" s="34">
        <f>ROUND(tabpers!D14*tabpers!D25,2)</f>
        <v>34.840000000000003</v>
      </c>
      <c r="E34" s="34">
        <f>ROUND(tabpers!E14*tabpers!E25,2)</f>
        <v>36.36</v>
      </c>
      <c r="F34" s="34">
        <f>ROUND(tabpers!F14*tabpers!F25,2)</f>
        <v>37.159999999999997</v>
      </c>
      <c r="G34" s="34">
        <f>ROUND(tabpers!G14*tabpers!G25,2)</f>
        <v>37.26</v>
      </c>
      <c r="H34" s="34">
        <f>ROUND(tabpers!H14*tabpers!H25,2)</f>
        <v>37.64</v>
      </c>
      <c r="I34" s="34">
        <f>ROUND(tabpers!I14*tabpers!I25,2)</f>
        <v>37.46</v>
      </c>
      <c r="J34" s="337">
        <f>ROUND(tabpers!J14*tabpers!J25,2)</f>
        <v>37.56</v>
      </c>
      <c r="K34" s="34">
        <f>ROUND(tabpers!K14*tabpers!K25,2)</f>
        <v>37.96</v>
      </c>
      <c r="L34" s="626">
        <f>ROUND(tabpers!L14*tabpers!L25,2)</f>
        <v>39.49</v>
      </c>
      <c r="M34" s="688">
        <f>ROUND(tabpers!M14*tabpers!M25,2)</f>
        <v>40.65</v>
      </c>
      <c r="N34" s="717">
        <f>ROUND(tabpers!N14*tabpers!N25,2)</f>
        <v>41.13</v>
      </c>
      <c r="O34" s="659">
        <f>ROUND(tabpers!O14*tabpers!O25,2)</f>
        <v>41.13</v>
      </c>
      <c r="P34" s="659">
        <f>ROUND(tabpers!P14*tabpers!P25,2)</f>
        <v>41.13</v>
      </c>
      <c r="Q34" s="659">
        <f>ROUND(tabpers!Q14*tabpers!Q25,2)</f>
        <v>41.13</v>
      </c>
      <c r="R34" s="659">
        <f>ROUND(tabpers!R14*tabpers!R25,2)</f>
        <v>41.13</v>
      </c>
      <c r="S34" s="659">
        <f>ROUND(tabpers!S14*tabpers!S25,2)</f>
        <v>41.13</v>
      </c>
      <c r="U34" s="611"/>
    </row>
    <row r="35" spans="1:21" x14ac:dyDescent="0.2">
      <c r="A35" s="7" t="s">
        <v>52</v>
      </c>
      <c r="B35" s="9"/>
      <c r="C35" s="34">
        <f>ROUND(tabpers!C24*tabpers!C15,2)</f>
        <v>52642.55</v>
      </c>
      <c r="D35" s="34">
        <f>ROUND(tabpers!D24*tabpers!D15,2)</f>
        <v>55213.38</v>
      </c>
      <c r="E35" s="34">
        <f>ROUND(tabpers!E24*tabpers!E15,2)</f>
        <v>57608.25</v>
      </c>
      <c r="F35" s="34">
        <f>ROUND(tabpers!F24*tabpers!F15,2)</f>
        <v>58877.01</v>
      </c>
      <c r="G35" s="34">
        <f>ROUND(tabpers!G24*tabpers!G15,2)</f>
        <v>59034.79</v>
      </c>
      <c r="H35" s="34">
        <f>ROUND(tabpers!H24*tabpers!H15,2)</f>
        <v>59636.93</v>
      </c>
      <c r="I35" s="34">
        <f>ROUND(tabpers!I24*tabpers!I15,2)</f>
        <v>59362.47</v>
      </c>
      <c r="J35" s="337">
        <f>ROUND(tabpers!J24*tabpers!J15,2)</f>
        <v>59514.53</v>
      </c>
      <c r="K35" s="34">
        <f>ROUND(tabpers!K24*tabpers!K15,2)</f>
        <v>60146.07</v>
      </c>
      <c r="L35" s="626">
        <f>ROUND(tabpers!L24*tabpers!L15,2)</f>
        <v>62568.97</v>
      </c>
      <c r="M35" s="688">
        <f>ROUND(tabpers!M24*tabpers!M15,2)</f>
        <v>64411.9</v>
      </c>
      <c r="N35" s="717">
        <f>ROUND(tabpers!N24*tabpers!N15,2)</f>
        <v>65166.36</v>
      </c>
      <c r="O35" s="659">
        <f>ROUND(tabpers!O24*tabpers!O15,2)</f>
        <v>65166.36</v>
      </c>
      <c r="P35" s="659">
        <f>ROUND(tabpers!P24*tabpers!P15,2)</f>
        <v>65166.36</v>
      </c>
      <c r="Q35" s="659">
        <f>ROUND(tabpers!Q24*tabpers!Q15,2)</f>
        <v>65166.36</v>
      </c>
      <c r="R35" s="659">
        <f>ROUND(tabpers!R24*tabpers!R15,2)</f>
        <v>65166.36</v>
      </c>
      <c r="S35" s="659">
        <f>ROUND(tabpers!S24*tabpers!S15,2)</f>
        <v>65166.36</v>
      </c>
      <c r="U35" s="611"/>
    </row>
    <row r="36" spans="1:21" x14ac:dyDescent="0.2">
      <c r="A36" s="7" t="s">
        <v>53</v>
      </c>
      <c r="B36" s="9"/>
      <c r="C36" s="34">
        <f>ROUND(tabpers!C15*tabpers!C25,2)</f>
        <v>1420.62</v>
      </c>
      <c r="D36" s="34">
        <f>ROUND(tabpers!D15*tabpers!D25,2)</f>
        <v>1489.92</v>
      </c>
      <c r="E36" s="34">
        <f>ROUND(tabpers!E15*tabpers!E25,2)</f>
        <v>1554.56</v>
      </c>
      <c r="F36" s="34">
        <f>ROUND(tabpers!F15*tabpers!F25,2)</f>
        <v>1588.8</v>
      </c>
      <c r="G36" s="34">
        <f>ROUND(tabpers!G15*tabpers!G25,2)</f>
        <v>1593.05</v>
      </c>
      <c r="H36" s="34">
        <f>ROUND(tabpers!H15*tabpers!H25,2)</f>
        <v>1609.29</v>
      </c>
      <c r="I36" s="34">
        <f>ROUND(tabpers!I15*tabpers!I25,2)</f>
        <v>1601.89</v>
      </c>
      <c r="J36" s="337">
        <f>ROUND(tabpers!J15*tabpers!J25,2)</f>
        <v>1606</v>
      </c>
      <c r="K36" s="34">
        <f>ROUND(tabpers!K15*tabpers!K25,2)</f>
        <v>1623.04</v>
      </c>
      <c r="L36" s="626">
        <f>ROUND(tabpers!L15*tabpers!L25,2)</f>
        <v>1688.42</v>
      </c>
      <c r="M36" s="688">
        <f>ROUND(tabpers!M15*tabpers!M25,2)</f>
        <v>1738.15</v>
      </c>
      <c r="N36" s="717">
        <f>ROUND(tabpers!N15*tabpers!N25,2)</f>
        <v>1758.52</v>
      </c>
      <c r="O36" s="659">
        <f>ROUND(tabpers!O15*tabpers!O25,2)</f>
        <v>1758.52</v>
      </c>
      <c r="P36" s="659">
        <f>ROUND(tabpers!P15*tabpers!P25,2)</f>
        <v>1758.52</v>
      </c>
      <c r="Q36" s="659">
        <f>ROUND(tabpers!Q15*tabpers!Q25,2)</f>
        <v>1758.52</v>
      </c>
      <c r="R36" s="659">
        <f>ROUND(tabpers!R15*tabpers!R25,2)</f>
        <v>1758.52</v>
      </c>
      <c r="S36" s="659">
        <f>ROUND(tabpers!S15*tabpers!S25,2)</f>
        <v>1758.52</v>
      </c>
      <c r="U36" s="611"/>
    </row>
    <row r="37" spans="1:21" x14ac:dyDescent="0.2">
      <c r="A37" s="7" t="s">
        <v>54</v>
      </c>
      <c r="B37" s="9"/>
      <c r="C37" s="34">
        <f>ROUND(tabpers!C24*tabpers!C16,2)</f>
        <v>364.69</v>
      </c>
      <c r="D37" s="34">
        <f>ROUND(tabpers!D24*tabpers!D16,2)</f>
        <v>382.5</v>
      </c>
      <c r="E37" s="34">
        <f>ROUND(tabpers!E24*tabpers!E16,2)</f>
        <v>399.09</v>
      </c>
      <c r="F37" s="34">
        <f>ROUND(tabpers!F24*tabpers!F16,2)</f>
        <v>407.88</v>
      </c>
      <c r="G37" s="34">
        <f>ROUND(tabpers!G24*tabpers!G16,2)</f>
        <v>408.97</v>
      </c>
      <c r="H37" s="34">
        <f>ROUND(tabpers!H24*tabpers!H16,2)</f>
        <v>413.14</v>
      </c>
      <c r="I37" s="34">
        <f>ROUND(tabpers!I24*tabpers!I16,2)</f>
        <v>411.24</v>
      </c>
      <c r="J37" s="337">
        <f>ROUND(tabpers!J24*tabpers!J16,2)</f>
        <v>412.3</v>
      </c>
      <c r="K37" s="34">
        <f>ROUND(tabpers!K24*tabpers!K16,2)</f>
        <v>416.67</v>
      </c>
      <c r="L37" s="626">
        <f>ROUND(tabpers!L24*tabpers!L16,2)</f>
        <v>433.46</v>
      </c>
      <c r="M37" s="688">
        <f>ROUND(tabpers!M24*tabpers!M16,2)</f>
        <v>446.22</v>
      </c>
      <c r="N37" s="717">
        <f>ROUND(tabpers!N24*tabpers!N16,2)</f>
        <v>451.45</v>
      </c>
      <c r="O37" s="659">
        <f>ROUND(tabpers!O24*tabpers!O16,2)</f>
        <v>451.45</v>
      </c>
      <c r="P37" s="659">
        <f>ROUND(tabpers!P24*tabpers!P16,2)</f>
        <v>451.45</v>
      </c>
      <c r="Q37" s="659">
        <f>ROUND(tabpers!Q24*tabpers!Q16,2)</f>
        <v>451.45</v>
      </c>
      <c r="R37" s="659">
        <f>ROUND(tabpers!R24*tabpers!R16,2)</f>
        <v>451.45</v>
      </c>
      <c r="S37" s="659">
        <f>ROUND(tabpers!S24*tabpers!S16,2)</f>
        <v>451.45</v>
      </c>
      <c r="U37" s="611"/>
    </row>
    <row r="38" spans="1:21" x14ac:dyDescent="0.2">
      <c r="A38" s="7" t="s">
        <v>55</v>
      </c>
      <c r="B38" s="66"/>
      <c r="C38" s="34">
        <f>ROUND(tabpers!C16*tabpers!C25,2)</f>
        <v>9.84</v>
      </c>
      <c r="D38" s="34">
        <f>ROUND(tabpers!D16*tabpers!D25,2)</f>
        <v>10.32</v>
      </c>
      <c r="E38" s="34">
        <f>ROUND(tabpers!E16*tabpers!E25,2)</f>
        <v>10.77</v>
      </c>
      <c r="F38" s="34">
        <f>ROUND(tabpers!F16*tabpers!F25,2)</f>
        <v>11.01</v>
      </c>
      <c r="G38" s="34">
        <f>ROUND(tabpers!G16*tabpers!G25,2)</f>
        <v>11.04</v>
      </c>
      <c r="H38" s="34">
        <f>ROUND(tabpers!H16*tabpers!H25,2)</f>
        <v>11.15</v>
      </c>
      <c r="I38" s="34">
        <f>ROUND(tabpers!I16*tabpers!I25,2)</f>
        <v>11.1</v>
      </c>
      <c r="J38" s="337">
        <f>ROUND(tabpers!J16*tabpers!J25,2)</f>
        <v>11.13</v>
      </c>
      <c r="K38" s="34">
        <f>ROUND(tabpers!K16*tabpers!K25,2)</f>
        <v>11.24</v>
      </c>
      <c r="L38" s="626">
        <f>ROUND(tabpers!L16*tabpers!L25,2)</f>
        <v>11.7</v>
      </c>
      <c r="M38" s="688">
        <f>ROUND(tabpers!M16*tabpers!M25,2)</f>
        <v>12.04</v>
      </c>
      <c r="N38" s="717">
        <f>ROUND(tabpers!N16*tabpers!N25,2)</f>
        <v>12.18</v>
      </c>
      <c r="O38" s="659">
        <f>ROUND(tabpers!O16*tabpers!O25,2)</f>
        <v>12.18</v>
      </c>
      <c r="P38" s="659">
        <f>ROUND(tabpers!P16*tabpers!P25,2)</f>
        <v>12.18</v>
      </c>
      <c r="Q38" s="659">
        <f>ROUND(tabpers!Q16*tabpers!Q25,2)</f>
        <v>12.18</v>
      </c>
      <c r="R38" s="659">
        <f>ROUND(tabpers!R16*tabpers!R25,2)</f>
        <v>12.18</v>
      </c>
      <c r="S38" s="659">
        <f>ROUND(tabpers!S16*tabpers!S25,2)</f>
        <v>12.18</v>
      </c>
      <c r="U38" s="611"/>
    </row>
    <row r="39" spans="1:21" x14ac:dyDescent="0.2">
      <c r="A39" s="8" t="s">
        <v>56</v>
      </c>
      <c r="B39" s="8"/>
      <c r="C39" s="34">
        <f>ROUND(tabpers!C24*tabpers!C17+C42,2)</f>
        <v>79270.539999999994</v>
      </c>
      <c r="D39" s="34">
        <f>ROUND(tabpers!D24*tabpers!D17+D42,2)</f>
        <v>83139.95</v>
      </c>
      <c r="E39" s="34">
        <f>ROUND(tabpers!E24*tabpers!E17+E42,2)</f>
        <v>86101.53</v>
      </c>
      <c r="F39" s="34">
        <f>ROUND(tabpers!F24*tabpers!F17+F42,2)</f>
        <v>88460.1</v>
      </c>
      <c r="G39" s="34">
        <f>ROUND(tabpers!G24*tabpers!G17+G42+G43,2)</f>
        <v>91699.32</v>
      </c>
      <c r="H39" s="34">
        <f>ROUND(tabpers!H24*tabpers!H17+H42+H43,2)</f>
        <v>92454.61</v>
      </c>
      <c r="I39" s="34">
        <f>ROUND(tabpers!I24*tabpers!I17+I42+I43,2)</f>
        <v>91826.29</v>
      </c>
      <c r="J39" s="337">
        <f>ROUND(tabpers!J24*tabpers!J17+J42+J43,2)</f>
        <v>94213.49</v>
      </c>
      <c r="K39" s="34">
        <f>ROUND(tabpers!K24*tabpers!K17+K26,2)</f>
        <v>94518.98</v>
      </c>
      <c r="L39" s="626">
        <f>ROUND(tabpers!L24*tabpers!L17+L42+L43,2)</f>
        <v>97820.49</v>
      </c>
      <c r="M39" s="688">
        <f>ROUND(tabpers!M24*tabpers!M17+M42+M43,2)</f>
        <v>100464.79</v>
      </c>
      <c r="N39" s="717">
        <f>ROUND(tabpers!N24*tabpers!N17+N42+N43,2)</f>
        <v>101417.32</v>
      </c>
      <c r="O39" s="659">
        <f>ROUND(tabpers!O24*tabpers!O17+O42+O43,2)</f>
        <v>101417.32</v>
      </c>
      <c r="P39" s="659">
        <f>ROUND(tabpers!P24*tabpers!P17+P42+P43,2)</f>
        <v>101417.32</v>
      </c>
      <c r="Q39" s="659">
        <f>ROUND(tabpers!Q24*tabpers!Q17+Q42+Q43,2)</f>
        <v>101417.32</v>
      </c>
      <c r="R39" s="659">
        <f>ROUND(tabpers!R24*tabpers!R17+R42+R43,2)</f>
        <v>101417.32</v>
      </c>
      <c r="S39" s="659">
        <f>ROUND(tabpers!S24*tabpers!S17+S42+S43,2)</f>
        <v>101417.32</v>
      </c>
      <c r="U39" s="611"/>
    </row>
    <row r="40" spans="1:21" x14ac:dyDescent="0.2">
      <c r="A40" s="8" t="s">
        <v>57</v>
      </c>
      <c r="B40" s="8"/>
      <c r="C40" s="34">
        <f>ROUND(tabpers!C25*tabpers!C17,2)</f>
        <v>1778.56</v>
      </c>
      <c r="D40" s="34">
        <f>ROUND(tabpers!D25*tabpers!D17,2)</f>
        <v>1865.31</v>
      </c>
      <c r="E40" s="34">
        <f>ROUND(tabpers!E25*tabpers!E17,2)</f>
        <v>1946.23</v>
      </c>
      <c r="F40" s="34">
        <f>ROUND(tabpers!F25*tabpers!F17,2)</f>
        <v>1989.1</v>
      </c>
      <c r="G40" s="34">
        <f>ROUND(tabpers!G25*tabpers!G17,2)</f>
        <v>1994.43</v>
      </c>
      <c r="H40" s="34">
        <f>ROUND(tabpers!H25*tabpers!H17,2)</f>
        <v>2014.76</v>
      </c>
      <c r="I40" s="34">
        <f>ROUND(tabpers!I25*tabpers!I17,2)</f>
        <v>2005.5</v>
      </c>
      <c r="J40" s="337">
        <f>ROUND(tabpers!J25*tabpers!J17,2)</f>
        <v>2010.64</v>
      </c>
      <c r="K40" s="34">
        <f>ROUND(tabpers!K25*tabpers!K17,2)</f>
        <v>2031.97</v>
      </c>
      <c r="L40" s="626">
        <f>ROUND(tabpers!L25*tabpers!L17,2)</f>
        <v>2113.8200000000002</v>
      </c>
      <c r="M40" s="688">
        <f>ROUND(tabpers!M25*tabpers!M17,2)</f>
        <v>2176.08</v>
      </c>
      <c r="N40" s="717">
        <f>ROUND(tabpers!N25*tabpers!N17,2)</f>
        <v>2201.58</v>
      </c>
      <c r="O40" s="659">
        <f>ROUND(tabpers!O25*tabpers!O17,2)</f>
        <v>2201.58</v>
      </c>
      <c r="P40" s="659">
        <f>ROUND(tabpers!P25*tabpers!P17,2)</f>
        <v>2201.58</v>
      </c>
      <c r="Q40" s="659">
        <f>ROUND(tabpers!Q25*tabpers!Q17,2)</f>
        <v>2201.58</v>
      </c>
      <c r="R40" s="659">
        <f>ROUND(tabpers!R25*tabpers!R17,2)</f>
        <v>2201.58</v>
      </c>
      <c r="S40" s="659">
        <f>ROUND(tabpers!S25*tabpers!S17,2)</f>
        <v>2201.58</v>
      </c>
      <c r="U40" s="611"/>
    </row>
    <row r="41" spans="1:21" x14ac:dyDescent="0.2">
      <c r="A41" s="7" t="s">
        <v>51</v>
      </c>
      <c r="B41" s="9"/>
      <c r="C41" s="35">
        <v>98</v>
      </c>
      <c r="D41" s="35">
        <v>98</v>
      </c>
      <c r="E41" s="35">
        <v>98</v>
      </c>
      <c r="F41" s="48">
        <v>98</v>
      </c>
      <c r="G41" s="35">
        <v>98</v>
      </c>
      <c r="H41" s="35">
        <v>98</v>
      </c>
      <c r="I41" s="35">
        <v>98</v>
      </c>
      <c r="J41" s="338">
        <v>98</v>
      </c>
      <c r="K41" s="35">
        <v>98</v>
      </c>
      <c r="L41" s="627">
        <v>98</v>
      </c>
      <c r="M41" s="689">
        <v>98</v>
      </c>
      <c r="N41" s="718">
        <v>98</v>
      </c>
      <c r="O41" s="660">
        <v>98</v>
      </c>
      <c r="P41" s="660">
        <v>98</v>
      </c>
      <c r="Q41" s="660">
        <v>98</v>
      </c>
      <c r="R41" s="660">
        <v>98</v>
      </c>
      <c r="S41" s="660">
        <v>98</v>
      </c>
    </row>
    <row r="42" spans="1:21" x14ac:dyDescent="0.2">
      <c r="A42" s="7" t="s">
        <v>44</v>
      </c>
      <c r="B42" s="9"/>
      <c r="C42" s="36">
        <f t="shared" ref="C42:J42" si="11">C23-C22</f>
        <v>13364.549999999996</v>
      </c>
      <c r="D42" s="36">
        <f t="shared" si="11"/>
        <v>14015.410000000003</v>
      </c>
      <c r="E42" s="36">
        <f t="shared" si="11"/>
        <v>13978.720000000001</v>
      </c>
      <c r="F42" s="36">
        <f>F23-F22</f>
        <v>14748.859999999993</v>
      </c>
      <c r="G42" s="36">
        <f>G23-G22</f>
        <v>14467.549999999996</v>
      </c>
      <c r="H42" s="36">
        <f>H23-H22</f>
        <v>14687.990000000005</v>
      </c>
      <c r="I42" s="36">
        <f t="shared" si="11"/>
        <v>14936.29</v>
      </c>
      <c r="J42" s="339">
        <f t="shared" si="11"/>
        <v>17138.11</v>
      </c>
      <c r="K42" s="36">
        <f t="shared" ref="K42:P42" si="12">K23-K22</f>
        <v>16643.940000000002</v>
      </c>
      <c r="L42" s="36">
        <f>L23-L22</f>
        <v>16826.100000000006</v>
      </c>
      <c r="M42" s="339">
        <f>M23-M22</f>
        <v>17097.129999999997</v>
      </c>
      <c r="N42" s="719">
        <f t="shared" si="12"/>
        <v>17087.120000000003</v>
      </c>
      <c r="O42" s="661">
        <f t="shared" si="12"/>
        <v>17087.120000000003</v>
      </c>
      <c r="P42" s="661">
        <f t="shared" si="12"/>
        <v>17087.120000000003</v>
      </c>
      <c r="Q42" s="661">
        <f t="shared" ref="Q42:R42" si="13">Q23-Q22</f>
        <v>17087.120000000003</v>
      </c>
      <c r="R42" s="661">
        <f t="shared" si="13"/>
        <v>17087.120000000003</v>
      </c>
      <c r="S42" s="661">
        <f t="shared" ref="S42" si="14">S23-S22</f>
        <v>17087.120000000003</v>
      </c>
      <c r="U42" s="611"/>
    </row>
    <row r="43" spans="1:21" x14ac:dyDescent="0.2">
      <c r="A43" s="65" t="s">
        <v>149</v>
      </c>
      <c r="C43" s="47" t="s">
        <v>156</v>
      </c>
      <c r="D43" s="47" t="s">
        <v>156</v>
      </c>
      <c r="E43" s="6">
        <f t="shared" ref="E43:F43" si="15">E26-E42</f>
        <v>3091</v>
      </c>
      <c r="F43" s="6">
        <f t="shared" si="15"/>
        <v>3088.0000000000073</v>
      </c>
      <c r="G43" s="6">
        <f t="shared" ref="G43:O43" si="16">G26-G42</f>
        <v>3323.0000000000036</v>
      </c>
      <c r="H43" s="6">
        <f t="shared" si="16"/>
        <v>3103.9999999999964</v>
      </c>
      <c r="I43" s="6">
        <f t="shared" si="16"/>
        <v>2571</v>
      </c>
      <c r="J43" s="6">
        <f t="shared" si="16"/>
        <v>2566</v>
      </c>
      <c r="K43" s="6">
        <f t="shared" si="16"/>
        <v>2574.9999999999964</v>
      </c>
      <c r="L43" s="626">
        <f t="shared" si="16"/>
        <v>2660.9999999999927</v>
      </c>
      <c r="M43" s="688">
        <f>M26-M42</f>
        <v>2727.0000000000036</v>
      </c>
      <c r="N43" s="717">
        <f t="shared" si="16"/>
        <v>2744.9999999999964</v>
      </c>
      <c r="O43" s="659">
        <f t="shared" si="16"/>
        <v>2744.9999999999964</v>
      </c>
      <c r="P43" s="659">
        <f t="shared" ref="P43:Q43" si="17">P26-P42</f>
        <v>2744.9999999999964</v>
      </c>
      <c r="Q43" s="659">
        <f t="shared" si="17"/>
        <v>2744.9999999999964</v>
      </c>
      <c r="R43" s="659">
        <f t="shared" ref="R43:S43" si="18">R26-R42</f>
        <v>2744.9999999999964</v>
      </c>
      <c r="S43" s="659">
        <f t="shared" si="18"/>
        <v>2744.9999999999964</v>
      </c>
      <c r="U43" s="611"/>
    </row>
    <row r="44" spans="1:21" x14ac:dyDescent="0.2">
      <c r="A44" s="65" t="s">
        <v>94</v>
      </c>
      <c r="C44" s="49">
        <v>0.09</v>
      </c>
      <c r="D44" s="49">
        <v>0.08</v>
      </c>
      <c r="E44" s="10">
        <v>0.06</v>
      </c>
      <c r="F44" s="10">
        <v>0.06</v>
      </c>
      <c r="G44" s="10">
        <v>0.06</v>
      </c>
      <c r="H44" s="10">
        <v>0.06</v>
      </c>
      <c r="I44" s="10">
        <v>0.06</v>
      </c>
      <c r="J44" s="340">
        <v>0.06</v>
      </c>
      <c r="K44" s="10">
        <v>0.06</v>
      </c>
      <c r="L44" s="628">
        <v>0.06</v>
      </c>
      <c r="M44" s="690">
        <v>0.06</v>
      </c>
      <c r="N44" s="720">
        <v>0.06</v>
      </c>
      <c r="O44" s="662">
        <v>0.06</v>
      </c>
      <c r="P44" s="662">
        <v>0.06</v>
      </c>
      <c r="Q44" s="662">
        <v>0.06</v>
      </c>
      <c r="R44" s="662">
        <v>0.06</v>
      </c>
      <c r="S44" s="662">
        <v>0.06</v>
      </c>
    </row>
    <row r="45" spans="1:21" x14ac:dyDescent="0.2">
      <c r="A45" s="11" t="s">
        <v>150</v>
      </c>
      <c r="B45" s="11"/>
      <c r="C45" s="2" t="s">
        <v>156</v>
      </c>
      <c r="D45" s="2" t="s">
        <v>156</v>
      </c>
      <c r="E45" s="2" t="s">
        <v>156</v>
      </c>
      <c r="F45" s="559">
        <v>1553</v>
      </c>
      <c r="G45" s="559">
        <v>1666</v>
      </c>
      <c r="H45" s="559">
        <v>1690</v>
      </c>
      <c r="I45" s="559">
        <v>1672</v>
      </c>
      <c r="J45" s="559">
        <v>1690</v>
      </c>
      <c r="K45" s="559">
        <f>ROUND(J45*(1+K8),0)</f>
        <v>1712</v>
      </c>
      <c r="L45" s="629">
        <v>1780</v>
      </c>
      <c r="M45" s="691">
        <v>1828</v>
      </c>
      <c r="N45" s="721">
        <v>1844</v>
      </c>
      <c r="O45" s="663">
        <f>+N45</f>
        <v>1844</v>
      </c>
      <c r="P45" s="663">
        <f>+O45</f>
        <v>1844</v>
      </c>
      <c r="Q45" s="663">
        <f>+P45</f>
        <v>1844</v>
      </c>
      <c r="R45" s="663">
        <f>+Q45</f>
        <v>1844</v>
      </c>
      <c r="S45" s="663">
        <f>+R45</f>
        <v>1844</v>
      </c>
      <c r="U45" s="611"/>
    </row>
    <row r="46" spans="1:21" x14ac:dyDescent="0.2">
      <c r="G46" s="38"/>
      <c r="J46" s="335"/>
    </row>
    <row r="47" spans="1:21" hidden="1" x14ac:dyDescent="0.2">
      <c r="A47" s="2" t="s">
        <v>161</v>
      </c>
      <c r="C47" s="50"/>
      <c r="D47" s="50"/>
      <c r="E47" s="50"/>
      <c r="F47" s="50"/>
      <c r="G47" s="2" t="s">
        <v>156</v>
      </c>
      <c r="H47" s="8" t="s">
        <v>156</v>
      </c>
      <c r="I47" s="8" t="s">
        <v>156</v>
      </c>
      <c r="J47" s="341" t="s">
        <v>156</v>
      </c>
      <c r="K47" s="8" t="s">
        <v>156</v>
      </c>
      <c r="L47" s="9" t="s">
        <v>156</v>
      </c>
      <c r="M47" s="677" t="s">
        <v>156</v>
      </c>
      <c r="N47" s="708" t="s">
        <v>156</v>
      </c>
      <c r="O47" s="647" t="s">
        <v>156</v>
      </c>
      <c r="P47" s="647" t="s">
        <v>156</v>
      </c>
      <c r="Q47" s="647" t="s">
        <v>156</v>
      </c>
      <c r="R47" s="647" t="s">
        <v>156</v>
      </c>
      <c r="S47" s="647" t="s">
        <v>156</v>
      </c>
    </row>
    <row r="48" spans="1:21" hidden="1" x14ac:dyDescent="0.2">
      <c r="A48" s="65" t="s">
        <v>116</v>
      </c>
      <c r="C48" s="560">
        <v>0</v>
      </c>
      <c r="D48" s="560">
        <v>0.01</v>
      </c>
      <c r="E48" s="560">
        <v>0.02</v>
      </c>
      <c r="F48" s="560">
        <v>0.03</v>
      </c>
      <c r="G48" s="477"/>
      <c r="H48" s="8"/>
      <c r="I48" s="326"/>
      <c r="J48" s="342"/>
      <c r="K48" s="326"/>
      <c r="L48" s="9"/>
      <c r="M48" s="677"/>
      <c r="N48" s="708"/>
      <c r="O48" s="647"/>
      <c r="P48" s="647"/>
      <c r="Q48" s="647"/>
      <c r="R48" s="647"/>
      <c r="S48" s="647"/>
    </row>
    <row r="49" spans="1:21" hidden="1" x14ac:dyDescent="0.2">
      <c r="A49" s="65" t="s">
        <v>117</v>
      </c>
      <c r="C49" s="560">
        <v>0</v>
      </c>
      <c r="D49" s="560">
        <v>1.15E-2</v>
      </c>
      <c r="E49" s="561">
        <v>2.4E-2</v>
      </c>
      <c r="F49" s="561">
        <v>0.05</v>
      </c>
      <c r="G49" s="478"/>
      <c r="H49" s="293"/>
      <c r="I49" s="297"/>
      <c r="J49" s="343"/>
      <c r="K49" s="297"/>
      <c r="L49" s="9"/>
      <c r="M49" s="677"/>
      <c r="N49" s="708"/>
      <c r="O49" s="647"/>
      <c r="P49" s="647"/>
      <c r="Q49" s="647"/>
      <c r="R49" s="647"/>
      <c r="S49" s="647"/>
    </row>
    <row r="50" spans="1:21" hidden="1" x14ac:dyDescent="0.2">
      <c r="G50" s="46"/>
      <c r="H50" s="46"/>
      <c r="I50" s="45">
        <f>(I52-H52)/H52</f>
        <v>-3.8897338635293763E-3</v>
      </c>
      <c r="J50" s="344">
        <f>(J52-I52)/I52</f>
        <v>-1.7236114160128817E-2</v>
      </c>
      <c r="K50" s="45"/>
      <c r="L50" s="630"/>
      <c r="M50" s="693"/>
      <c r="N50" s="710"/>
      <c r="O50" s="647"/>
      <c r="P50" s="647"/>
      <c r="Q50" s="647"/>
      <c r="R50" s="647"/>
      <c r="S50" s="647"/>
    </row>
    <row r="51" spans="1:21" s="13" customFormat="1" x14ac:dyDescent="0.2">
      <c r="A51" s="251" t="s">
        <v>118</v>
      </c>
      <c r="G51" s="2"/>
      <c r="H51" s="2"/>
      <c r="I51" s="2"/>
      <c r="J51" s="331"/>
      <c r="K51" s="2"/>
      <c r="L51" s="47"/>
      <c r="M51" s="692"/>
      <c r="N51" s="664"/>
      <c r="O51" s="664"/>
      <c r="P51" s="664"/>
      <c r="Q51" s="664"/>
      <c r="R51" s="664"/>
      <c r="S51" s="664"/>
    </row>
    <row r="52" spans="1:21" x14ac:dyDescent="0.2">
      <c r="A52" s="14" t="s">
        <v>119</v>
      </c>
      <c r="B52" s="14"/>
      <c r="C52" s="562">
        <v>7328.05</v>
      </c>
      <c r="D52" s="563">
        <v>7523.71</v>
      </c>
      <c r="E52" s="555">
        <v>7859.27</v>
      </c>
      <c r="F52" s="555">
        <v>8068.81</v>
      </c>
      <c r="G52" s="555">
        <v>8059.32</v>
      </c>
      <c r="H52" s="564">
        <v>8185.65</v>
      </c>
      <c r="I52" s="564">
        <v>8153.81</v>
      </c>
      <c r="J52" s="565">
        <v>8013.27</v>
      </c>
      <c r="K52" s="564">
        <v>10804.95</v>
      </c>
      <c r="L52" s="631">
        <v>16341.07</v>
      </c>
      <c r="M52" s="694">
        <v>16785.55</v>
      </c>
      <c r="N52" s="722">
        <v>16936.12</v>
      </c>
      <c r="O52" s="665">
        <f t="shared" ref="O52:S55" si="19">N52</f>
        <v>16936.12</v>
      </c>
      <c r="P52" s="665">
        <f t="shared" si="19"/>
        <v>16936.12</v>
      </c>
      <c r="Q52" s="665">
        <f t="shared" si="19"/>
        <v>16936.12</v>
      </c>
      <c r="R52" s="665">
        <f t="shared" si="19"/>
        <v>16936.12</v>
      </c>
      <c r="S52" s="665">
        <f t="shared" si="19"/>
        <v>16936.12</v>
      </c>
      <c r="U52" s="611"/>
    </row>
    <row r="53" spans="1:21" x14ac:dyDescent="0.2">
      <c r="A53" s="65" t="s">
        <v>120</v>
      </c>
      <c r="B53" s="65"/>
      <c r="C53" s="562">
        <v>4600</v>
      </c>
      <c r="D53" s="562">
        <v>4609</v>
      </c>
      <c r="E53" s="566">
        <v>4815</v>
      </c>
      <c r="F53" s="566">
        <v>4943</v>
      </c>
      <c r="G53" s="566">
        <v>4937</v>
      </c>
      <c r="H53" s="564">
        <v>5014</v>
      </c>
      <c r="I53" s="564">
        <v>4994</v>
      </c>
      <c r="J53" s="565">
        <v>4908</v>
      </c>
      <c r="K53" s="564">
        <v>5036</v>
      </c>
      <c r="L53" s="631">
        <v>5280</v>
      </c>
      <c r="M53" s="694">
        <v>5424</v>
      </c>
      <c r="N53" s="722">
        <v>5473</v>
      </c>
      <c r="O53" s="665">
        <f t="shared" si="19"/>
        <v>5473</v>
      </c>
      <c r="P53" s="665">
        <f t="shared" si="19"/>
        <v>5473</v>
      </c>
      <c r="Q53" s="665">
        <f t="shared" si="19"/>
        <v>5473</v>
      </c>
      <c r="R53" s="665">
        <f t="shared" si="19"/>
        <v>5473</v>
      </c>
      <c r="S53" s="665">
        <f t="shared" si="19"/>
        <v>5473</v>
      </c>
      <c r="U53" s="611"/>
    </row>
    <row r="54" spans="1:21" x14ac:dyDescent="0.2">
      <c r="A54" s="65" t="s">
        <v>121</v>
      </c>
      <c r="B54" s="14"/>
      <c r="C54" s="562">
        <v>285.54000000000002</v>
      </c>
      <c r="D54" s="563">
        <v>307.74</v>
      </c>
      <c r="E54" s="555">
        <v>333.15</v>
      </c>
      <c r="F54" s="555">
        <v>334.3</v>
      </c>
      <c r="G54" s="555">
        <v>341.63</v>
      </c>
      <c r="H54" s="564">
        <v>346.99</v>
      </c>
      <c r="I54" s="564">
        <v>345.64</v>
      </c>
      <c r="J54" s="565">
        <v>339.68</v>
      </c>
      <c r="K54" s="564">
        <v>397.79</v>
      </c>
      <c r="L54" s="631">
        <v>453.5</v>
      </c>
      <c r="M54" s="694">
        <v>462.78</v>
      </c>
      <c r="N54" s="722">
        <v>472.69</v>
      </c>
      <c r="O54" s="665">
        <f t="shared" si="19"/>
        <v>472.69</v>
      </c>
      <c r="P54" s="665">
        <f t="shared" si="19"/>
        <v>472.69</v>
      </c>
      <c r="Q54" s="665">
        <f t="shared" si="19"/>
        <v>472.69</v>
      </c>
      <c r="R54" s="665">
        <f t="shared" si="19"/>
        <v>472.69</v>
      </c>
      <c r="S54" s="665">
        <f t="shared" si="19"/>
        <v>472.69</v>
      </c>
      <c r="U54" s="611"/>
    </row>
    <row r="55" spans="1:21" x14ac:dyDescent="0.2">
      <c r="A55" s="65" t="s">
        <v>122</v>
      </c>
      <c r="B55" s="14"/>
      <c r="C55" s="562">
        <v>238.3</v>
      </c>
      <c r="D55" s="563">
        <v>244.66</v>
      </c>
      <c r="E55" s="555">
        <v>255.57</v>
      </c>
      <c r="F55" s="555">
        <v>262.38</v>
      </c>
      <c r="G55" s="555">
        <v>262.07</v>
      </c>
      <c r="H55" s="564">
        <v>266.18</v>
      </c>
      <c r="I55" s="564">
        <v>265.14</v>
      </c>
      <c r="J55" s="565">
        <v>260.57</v>
      </c>
      <c r="K55" s="564">
        <v>267.35000000000002</v>
      </c>
      <c r="L55" s="631">
        <v>280.31</v>
      </c>
      <c r="M55" s="694">
        <v>287.93</v>
      </c>
      <c r="N55" s="722">
        <v>290.51</v>
      </c>
      <c r="O55" s="665">
        <f t="shared" si="19"/>
        <v>290.51</v>
      </c>
      <c r="P55" s="665">
        <f t="shared" si="19"/>
        <v>290.51</v>
      </c>
      <c r="Q55" s="665">
        <f t="shared" si="19"/>
        <v>290.51</v>
      </c>
      <c r="R55" s="665">
        <f t="shared" si="19"/>
        <v>290.51</v>
      </c>
      <c r="S55" s="665">
        <f t="shared" si="19"/>
        <v>290.51</v>
      </c>
      <c r="U55" s="611"/>
    </row>
    <row r="56" spans="1:21" x14ac:dyDescent="0.2">
      <c r="A56" s="65" t="s">
        <v>123</v>
      </c>
      <c r="B56" s="14"/>
      <c r="C56" s="562">
        <v>4584.45</v>
      </c>
      <c r="D56" s="563">
        <v>4706.8500000000004</v>
      </c>
      <c r="E56" s="555">
        <v>4916.78</v>
      </c>
      <c r="F56" s="555">
        <v>5047.8599999999997</v>
      </c>
      <c r="G56" s="555">
        <v>11142.56</v>
      </c>
      <c r="H56" s="564">
        <v>11316.82</v>
      </c>
      <c r="I56" s="564">
        <v>11272.8</v>
      </c>
      <c r="J56" s="565">
        <v>11078.5</v>
      </c>
      <c r="K56" s="564">
        <v>11366.87</v>
      </c>
      <c r="L56" s="631">
        <v>11917.71</v>
      </c>
      <c r="M56" s="694">
        <v>12241.87</v>
      </c>
      <c r="N56" s="722">
        <v>12351.68</v>
      </c>
      <c r="O56" s="665">
        <f t="shared" ref="O56:S57" si="20">N56</f>
        <v>12351.68</v>
      </c>
      <c r="P56" s="665">
        <f t="shared" si="20"/>
        <v>12351.68</v>
      </c>
      <c r="Q56" s="665">
        <f t="shared" si="20"/>
        <v>12351.68</v>
      </c>
      <c r="R56" s="665">
        <f t="shared" si="20"/>
        <v>12351.68</v>
      </c>
      <c r="S56" s="665">
        <f t="shared" si="20"/>
        <v>12351.68</v>
      </c>
      <c r="U56" s="611"/>
    </row>
    <row r="57" spans="1:21" x14ac:dyDescent="0.2">
      <c r="A57" s="65" t="s">
        <v>124</v>
      </c>
      <c r="B57" s="15"/>
      <c r="C57" s="562">
        <v>31.62</v>
      </c>
      <c r="D57" s="563">
        <v>32.46</v>
      </c>
      <c r="E57" s="555">
        <v>33.909999999999997</v>
      </c>
      <c r="F57" s="555">
        <v>34.82</v>
      </c>
      <c r="G57" s="555">
        <v>76.849999999999994</v>
      </c>
      <c r="H57" s="564">
        <v>78.06</v>
      </c>
      <c r="I57" s="564">
        <v>77.760000000000005</v>
      </c>
      <c r="J57" s="565">
        <v>76.41</v>
      </c>
      <c r="K57" s="564">
        <v>78.400000000000006</v>
      </c>
      <c r="L57" s="631">
        <v>82.2</v>
      </c>
      <c r="M57" s="694">
        <v>84.44</v>
      </c>
      <c r="N57" s="722">
        <v>85.2</v>
      </c>
      <c r="O57" s="665">
        <f t="shared" si="20"/>
        <v>85.2</v>
      </c>
      <c r="P57" s="665">
        <f t="shared" si="20"/>
        <v>85.2</v>
      </c>
      <c r="Q57" s="665">
        <f t="shared" si="20"/>
        <v>85.2</v>
      </c>
      <c r="R57" s="665">
        <f t="shared" si="20"/>
        <v>85.2</v>
      </c>
      <c r="S57" s="665">
        <f t="shared" si="20"/>
        <v>85.2</v>
      </c>
      <c r="U57" s="611"/>
    </row>
    <row r="58" spans="1:21" x14ac:dyDescent="0.2">
      <c r="A58" s="65" t="s">
        <v>164</v>
      </c>
      <c r="B58" s="65"/>
      <c r="C58" s="551">
        <v>145</v>
      </c>
      <c r="D58" s="551">
        <v>145</v>
      </c>
      <c r="E58" s="551">
        <v>145</v>
      </c>
      <c r="F58" s="551">
        <v>145</v>
      </c>
      <c r="G58" s="551">
        <v>145</v>
      </c>
      <c r="H58" s="551">
        <v>145</v>
      </c>
      <c r="I58" s="551">
        <v>145</v>
      </c>
      <c r="J58" s="552">
        <v>145</v>
      </c>
      <c r="K58" s="551">
        <v>145</v>
      </c>
      <c r="L58" s="632">
        <v>145</v>
      </c>
      <c r="M58" s="695">
        <v>145</v>
      </c>
      <c r="N58" s="723">
        <v>145</v>
      </c>
      <c r="O58" s="666">
        <v>145</v>
      </c>
      <c r="P58" s="666">
        <v>145</v>
      </c>
      <c r="Q58" s="666">
        <v>145</v>
      </c>
      <c r="R58" s="666">
        <v>145</v>
      </c>
      <c r="S58" s="666">
        <v>145</v>
      </c>
    </row>
    <row r="59" spans="1:21" x14ac:dyDescent="0.2">
      <c r="A59" s="65" t="s">
        <v>125</v>
      </c>
      <c r="B59" s="65"/>
      <c r="C59" s="562">
        <v>108.61</v>
      </c>
      <c r="D59" s="563">
        <v>111.51</v>
      </c>
      <c r="E59" s="555">
        <v>77.66</v>
      </c>
      <c r="F59" s="555">
        <v>39.86</v>
      </c>
      <c r="G59" s="567" t="s">
        <v>156</v>
      </c>
      <c r="H59" s="567" t="s">
        <v>156</v>
      </c>
      <c r="I59" s="567" t="s">
        <v>156</v>
      </c>
      <c r="J59" s="568" t="s">
        <v>156</v>
      </c>
      <c r="K59" s="567" t="s">
        <v>156</v>
      </c>
      <c r="L59" s="633" t="s">
        <v>156</v>
      </c>
      <c r="M59" s="696" t="s">
        <v>156</v>
      </c>
      <c r="N59" s="724" t="s">
        <v>156</v>
      </c>
      <c r="O59" s="667" t="s">
        <v>156</v>
      </c>
      <c r="P59" s="667" t="s">
        <v>156</v>
      </c>
      <c r="Q59" s="667" t="s">
        <v>156</v>
      </c>
      <c r="R59" s="667" t="s">
        <v>156</v>
      </c>
      <c r="S59" s="667" t="s">
        <v>156</v>
      </c>
    </row>
    <row r="60" spans="1:21" x14ac:dyDescent="0.2">
      <c r="A60" s="65" t="s">
        <v>126</v>
      </c>
      <c r="B60" s="65"/>
      <c r="C60" s="562">
        <v>134.69999999999999</v>
      </c>
      <c r="D60" s="563">
        <v>138.30000000000001</v>
      </c>
      <c r="E60" s="555">
        <v>96.31</v>
      </c>
      <c r="F60" s="555">
        <v>49.44</v>
      </c>
      <c r="G60" s="567" t="s">
        <v>156</v>
      </c>
      <c r="H60" s="567" t="s">
        <v>156</v>
      </c>
      <c r="I60" s="567" t="s">
        <v>156</v>
      </c>
      <c r="J60" s="568" t="s">
        <v>156</v>
      </c>
      <c r="K60" s="567" t="s">
        <v>156</v>
      </c>
      <c r="L60" s="633" t="s">
        <v>156</v>
      </c>
      <c r="M60" s="696" t="s">
        <v>156</v>
      </c>
      <c r="N60" s="724" t="s">
        <v>156</v>
      </c>
      <c r="O60" s="667" t="s">
        <v>156</v>
      </c>
      <c r="P60" s="667" t="s">
        <v>156</v>
      </c>
      <c r="Q60" s="667" t="s">
        <v>156</v>
      </c>
      <c r="R60" s="667" t="s">
        <v>156</v>
      </c>
      <c r="S60" s="667" t="s">
        <v>156</v>
      </c>
    </row>
    <row r="62" spans="1:21" hidden="1" x14ac:dyDescent="0.2">
      <c r="A62" s="252" t="s">
        <v>127</v>
      </c>
      <c r="B62" s="65"/>
      <c r="C62" s="6"/>
      <c r="D62" s="6"/>
      <c r="E62" s="65"/>
      <c r="F62" s="65"/>
    </row>
    <row r="63" spans="1:21" hidden="1" x14ac:dyDescent="0.2">
      <c r="A63" s="65" t="s">
        <v>45</v>
      </c>
      <c r="B63" s="65"/>
      <c r="C63" s="569">
        <v>2669.57</v>
      </c>
      <c r="D63" s="563">
        <v>2669.57</v>
      </c>
      <c r="E63" s="555">
        <v>2759.8</v>
      </c>
      <c r="F63" s="555">
        <v>2845.92</v>
      </c>
      <c r="G63" s="567" t="s">
        <v>156</v>
      </c>
      <c r="H63" s="567" t="s">
        <v>156</v>
      </c>
      <c r="I63" s="567" t="s">
        <v>156</v>
      </c>
      <c r="J63" s="568" t="s">
        <v>156</v>
      </c>
      <c r="K63" s="567" t="s">
        <v>156</v>
      </c>
      <c r="L63" s="633" t="s">
        <v>156</v>
      </c>
      <c r="M63" s="696" t="s">
        <v>156</v>
      </c>
      <c r="N63" s="724" t="s">
        <v>156</v>
      </c>
      <c r="O63" s="667" t="s">
        <v>156</v>
      </c>
      <c r="P63" s="667" t="s">
        <v>156</v>
      </c>
      <c r="Q63" s="667" t="s">
        <v>156</v>
      </c>
      <c r="R63" s="667" t="s">
        <v>156</v>
      </c>
      <c r="S63" s="667" t="s">
        <v>156</v>
      </c>
    </row>
    <row r="64" spans="1:21" hidden="1" x14ac:dyDescent="0.2">
      <c r="A64" s="65" t="s">
        <v>128</v>
      </c>
      <c r="B64" s="65"/>
      <c r="C64" s="569">
        <v>36.35</v>
      </c>
      <c r="D64" s="563">
        <v>39.51</v>
      </c>
      <c r="E64" s="555">
        <v>40.85</v>
      </c>
      <c r="F64" s="555">
        <v>42.12</v>
      </c>
      <c r="G64" s="567" t="s">
        <v>156</v>
      </c>
      <c r="H64" s="567" t="s">
        <v>156</v>
      </c>
      <c r="I64" s="567" t="s">
        <v>156</v>
      </c>
      <c r="J64" s="568" t="s">
        <v>156</v>
      </c>
      <c r="K64" s="567" t="s">
        <v>156</v>
      </c>
      <c r="L64" s="633" t="s">
        <v>156</v>
      </c>
      <c r="M64" s="696" t="s">
        <v>156</v>
      </c>
      <c r="N64" s="724" t="s">
        <v>156</v>
      </c>
      <c r="O64" s="667" t="s">
        <v>156</v>
      </c>
      <c r="P64" s="667" t="s">
        <v>156</v>
      </c>
      <c r="Q64" s="667" t="s">
        <v>156</v>
      </c>
      <c r="R64" s="667" t="s">
        <v>156</v>
      </c>
      <c r="S64" s="667" t="s">
        <v>156</v>
      </c>
    </row>
    <row r="65" spans="1:21" hidden="1" x14ac:dyDescent="0.2">
      <c r="A65" s="65" t="s">
        <v>129</v>
      </c>
      <c r="B65" s="65"/>
      <c r="C65" s="569">
        <v>5728.95</v>
      </c>
      <c r="D65" s="563">
        <v>5728.95</v>
      </c>
      <c r="E65" s="555">
        <v>5922.59</v>
      </c>
      <c r="F65" s="555">
        <v>6107.41</v>
      </c>
      <c r="G65" s="567" t="s">
        <v>156</v>
      </c>
      <c r="H65" s="567" t="s">
        <v>156</v>
      </c>
      <c r="I65" s="567" t="s">
        <v>156</v>
      </c>
      <c r="J65" s="568" t="s">
        <v>156</v>
      </c>
      <c r="K65" s="567" t="s">
        <v>156</v>
      </c>
      <c r="L65" s="633" t="s">
        <v>156</v>
      </c>
      <c r="M65" s="696" t="s">
        <v>156</v>
      </c>
      <c r="N65" s="724" t="s">
        <v>156</v>
      </c>
      <c r="O65" s="667" t="s">
        <v>156</v>
      </c>
      <c r="P65" s="667" t="s">
        <v>156</v>
      </c>
      <c r="Q65" s="667" t="s">
        <v>156</v>
      </c>
      <c r="R65" s="667" t="s">
        <v>156</v>
      </c>
      <c r="S65" s="667" t="s">
        <v>156</v>
      </c>
    </row>
    <row r="66" spans="1:21" hidden="1" x14ac:dyDescent="0.2">
      <c r="A66" s="65" t="s">
        <v>130</v>
      </c>
      <c r="B66" s="65"/>
      <c r="C66" s="569">
        <v>39.51</v>
      </c>
      <c r="D66" s="563">
        <v>39.51</v>
      </c>
      <c r="E66" s="555">
        <v>40.85</v>
      </c>
      <c r="F66" s="555">
        <v>42.12</v>
      </c>
      <c r="G66" s="567" t="s">
        <v>156</v>
      </c>
      <c r="H66" s="567" t="s">
        <v>156</v>
      </c>
      <c r="I66" s="567" t="s">
        <v>156</v>
      </c>
      <c r="J66" s="568" t="s">
        <v>156</v>
      </c>
      <c r="K66" s="567" t="s">
        <v>156</v>
      </c>
      <c r="L66" s="633" t="s">
        <v>156</v>
      </c>
      <c r="M66" s="696" t="s">
        <v>156</v>
      </c>
      <c r="N66" s="724" t="s">
        <v>156</v>
      </c>
      <c r="O66" s="667" t="s">
        <v>156</v>
      </c>
      <c r="P66" s="667" t="s">
        <v>156</v>
      </c>
      <c r="Q66" s="667" t="s">
        <v>156</v>
      </c>
      <c r="R66" s="667" t="s">
        <v>156</v>
      </c>
      <c r="S66" s="667" t="s">
        <v>156</v>
      </c>
    </row>
    <row r="67" spans="1:21" hidden="1" x14ac:dyDescent="0.2">
      <c r="A67" s="65"/>
      <c r="B67" s="65"/>
      <c r="C67" s="65"/>
      <c r="D67" s="65"/>
      <c r="E67" s="65"/>
      <c r="F67" s="65"/>
    </row>
    <row r="68" spans="1:21" x14ac:dyDescent="0.2">
      <c r="A68" s="2" t="s">
        <v>232</v>
      </c>
      <c r="C68" s="47" t="s">
        <v>156</v>
      </c>
      <c r="D68" s="47" t="s">
        <v>156</v>
      </c>
      <c r="E68" s="47" t="s">
        <v>156</v>
      </c>
      <c r="F68" s="47" t="s">
        <v>156</v>
      </c>
      <c r="G68" s="570">
        <v>15.5</v>
      </c>
      <c r="H68" s="571">
        <v>71.45</v>
      </c>
      <c r="I68" s="571">
        <v>82.99</v>
      </c>
      <c r="J68" s="572">
        <f>46.55+32.04+11.26</f>
        <v>89.850000000000009</v>
      </c>
      <c r="K68" s="570">
        <f>46.55+32.04+11.26</f>
        <v>89.850000000000009</v>
      </c>
      <c r="L68" s="634">
        <v>81.58</v>
      </c>
      <c r="M68" s="697">
        <v>132.31</v>
      </c>
      <c r="N68" s="725">
        <v>170.78</v>
      </c>
      <c r="O68" s="668">
        <f t="shared" ref="N68:S69" si="21">N68</f>
        <v>170.78</v>
      </c>
      <c r="P68" s="668">
        <f t="shared" si="21"/>
        <v>170.78</v>
      </c>
      <c r="Q68" s="668">
        <f t="shared" si="21"/>
        <v>170.78</v>
      </c>
      <c r="R68" s="668">
        <f t="shared" si="21"/>
        <v>170.78</v>
      </c>
      <c r="S68" s="668">
        <f t="shared" si="21"/>
        <v>170.78</v>
      </c>
      <c r="U68" s="598"/>
    </row>
    <row r="69" spans="1:21" x14ac:dyDescent="0.2">
      <c r="A69" s="2" t="s">
        <v>228</v>
      </c>
      <c r="C69" s="47" t="s">
        <v>156</v>
      </c>
      <c r="D69" s="47" t="s">
        <v>156</v>
      </c>
      <c r="E69" s="47" t="s">
        <v>156</v>
      </c>
      <c r="F69" s="47" t="s">
        <v>156</v>
      </c>
      <c r="G69" s="47" t="s">
        <v>156</v>
      </c>
      <c r="H69" s="573">
        <v>1942.29</v>
      </c>
      <c r="I69" s="571">
        <v>1954</v>
      </c>
      <c r="J69" s="572">
        <v>1986</v>
      </c>
      <c r="K69" s="570">
        <v>1986</v>
      </c>
      <c r="L69" s="634">
        <v>0</v>
      </c>
      <c r="M69" s="697">
        <f t="shared" ref="M69" si="22">L69</f>
        <v>0</v>
      </c>
      <c r="N69" s="725">
        <f t="shared" si="21"/>
        <v>0</v>
      </c>
      <c r="O69" s="668">
        <f t="shared" si="21"/>
        <v>0</v>
      </c>
      <c r="P69" s="668">
        <f t="shared" si="21"/>
        <v>0</v>
      </c>
      <c r="Q69" s="668">
        <f t="shared" si="21"/>
        <v>0</v>
      </c>
      <c r="R69" s="668">
        <f t="shared" si="21"/>
        <v>0</v>
      </c>
      <c r="S69" s="668">
        <f t="shared" si="21"/>
        <v>0</v>
      </c>
    </row>
    <row r="70" spans="1:21" s="12" customFormat="1" x14ac:dyDescent="0.2">
      <c r="J70" s="345"/>
      <c r="L70" s="635"/>
      <c r="M70" s="698"/>
      <c r="N70" s="726"/>
      <c r="O70" s="669"/>
      <c r="P70" s="669"/>
      <c r="Q70" s="669"/>
      <c r="R70" s="669"/>
      <c r="S70" s="669"/>
    </row>
    <row r="71" spans="1:21" x14ac:dyDescent="0.2">
      <c r="D71" s="52"/>
    </row>
    <row r="72" spans="1:21" x14ac:dyDescent="0.2">
      <c r="M72" s="699"/>
    </row>
    <row r="74" spans="1:21" x14ac:dyDescent="0.2">
      <c r="D74" s="51"/>
      <c r="M74" s="700"/>
    </row>
    <row r="75" spans="1:21" x14ac:dyDescent="0.2">
      <c r="M75" s="700"/>
    </row>
    <row r="76" spans="1:21" x14ac:dyDescent="0.2">
      <c r="M76" s="700"/>
    </row>
    <row r="77" spans="1:21" x14ac:dyDescent="0.2">
      <c r="M77" s="700"/>
    </row>
    <row r="78" spans="1:21" x14ac:dyDescent="0.2">
      <c r="M78" s="700"/>
    </row>
    <row r="79" spans="1:21" x14ac:dyDescent="0.2">
      <c r="M79" s="700"/>
    </row>
    <row r="115" spans="10:19" x14ac:dyDescent="0.2">
      <c r="J115" s="329"/>
      <c r="K115" s="614"/>
      <c r="L115" s="9"/>
      <c r="M115" s="677"/>
      <c r="N115" s="708"/>
      <c r="O115" s="647"/>
      <c r="P115" s="647"/>
      <c r="Q115" s="647"/>
      <c r="R115" s="647"/>
      <c r="S115" s="647"/>
    </row>
    <row r="170" spans="1:19" s="12" customFormat="1" x14ac:dyDescent="0.2">
      <c r="A170" s="4"/>
      <c r="B170" s="23"/>
      <c r="C170" s="23"/>
      <c r="D170" s="23"/>
      <c r="J170" s="345"/>
      <c r="L170" s="635"/>
      <c r="M170" s="698"/>
      <c r="N170" s="726"/>
      <c r="O170" s="669"/>
      <c r="P170" s="669"/>
      <c r="Q170" s="669"/>
      <c r="R170" s="669"/>
      <c r="S170" s="669"/>
    </row>
    <row r="171" spans="1:19" s="12" customFormat="1" x14ac:dyDescent="0.2">
      <c r="A171" s="24"/>
      <c r="D171" s="24"/>
      <c r="E171" s="24"/>
      <c r="J171" s="345"/>
      <c r="L171" s="635"/>
      <c r="M171" s="698"/>
      <c r="N171" s="726"/>
      <c r="O171" s="669"/>
      <c r="P171" s="669"/>
      <c r="Q171" s="669"/>
      <c r="R171" s="669"/>
      <c r="S171" s="669"/>
    </row>
    <row r="172" spans="1:19" s="12" customFormat="1" x14ac:dyDescent="0.2">
      <c r="A172" s="65"/>
      <c r="D172" s="65"/>
      <c r="E172" s="65"/>
      <c r="J172" s="345"/>
      <c r="L172" s="635"/>
      <c r="M172" s="698"/>
      <c r="N172" s="726"/>
      <c r="O172" s="669"/>
      <c r="P172" s="669"/>
      <c r="Q172" s="669"/>
      <c r="R172" s="669"/>
      <c r="S172" s="669"/>
    </row>
    <row r="173" spans="1:19" s="12" customFormat="1" x14ac:dyDescent="0.2">
      <c r="A173" s="65"/>
      <c r="D173" s="65"/>
      <c r="E173" s="65"/>
      <c r="J173" s="345"/>
      <c r="L173" s="635"/>
      <c r="M173" s="698"/>
      <c r="N173" s="726"/>
      <c r="O173" s="669"/>
      <c r="P173" s="669"/>
      <c r="Q173" s="669"/>
      <c r="R173" s="669"/>
      <c r="S173" s="669"/>
    </row>
    <row r="174" spans="1:19" s="12" customFormat="1" x14ac:dyDescent="0.2">
      <c r="A174" s="25"/>
      <c r="D174" s="65"/>
      <c r="E174" s="65"/>
      <c r="J174" s="345"/>
      <c r="L174" s="635"/>
      <c r="M174" s="698"/>
      <c r="N174" s="726"/>
      <c r="O174" s="669"/>
      <c r="P174" s="669"/>
      <c r="Q174" s="669"/>
      <c r="R174" s="669"/>
      <c r="S174" s="669"/>
    </row>
    <row r="175" spans="1:19" s="12" customFormat="1" x14ac:dyDescent="0.2">
      <c r="A175" s="25"/>
      <c r="D175" s="65"/>
      <c r="E175" s="65"/>
      <c r="J175" s="345"/>
      <c r="L175" s="635"/>
      <c r="M175" s="698"/>
      <c r="N175" s="726"/>
      <c r="O175" s="669"/>
      <c r="P175" s="669"/>
      <c r="Q175" s="669"/>
      <c r="R175" s="669"/>
      <c r="S175" s="669"/>
    </row>
    <row r="176" spans="1:19" s="12" customFormat="1" x14ac:dyDescent="0.2">
      <c r="A176" s="25"/>
      <c r="D176" s="65"/>
      <c r="E176" s="65"/>
      <c r="J176" s="345"/>
      <c r="L176" s="635"/>
      <c r="M176" s="698"/>
      <c r="N176" s="726"/>
      <c r="O176" s="669"/>
      <c r="P176" s="669"/>
      <c r="Q176" s="669"/>
      <c r="R176" s="669"/>
      <c r="S176" s="669"/>
    </row>
    <row r="177" spans="1:19" s="12" customFormat="1" x14ac:dyDescent="0.2">
      <c r="A177" s="25"/>
      <c r="D177" s="65"/>
      <c r="E177" s="65"/>
      <c r="J177" s="345"/>
      <c r="L177" s="635"/>
      <c r="M177" s="698"/>
      <c r="N177" s="726"/>
      <c r="O177" s="669"/>
      <c r="P177" s="669"/>
      <c r="Q177" s="669"/>
      <c r="R177" s="669"/>
      <c r="S177" s="669"/>
    </row>
    <row r="178" spans="1:19" s="12" customFormat="1" x14ac:dyDescent="0.2">
      <c r="A178" s="25"/>
      <c r="D178" s="65"/>
      <c r="E178" s="65"/>
      <c r="J178" s="345"/>
      <c r="L178" s="635"/>
      <c r="M178" s="698"/>
      <c r="N178" s="726"/>
      <c r="O178" s="669"/>
      <c r="P178" s="669"/>
      <c r="Q178" s="669"/>
      <c r="R178" s="669"/>
      <c r="S178" s="669"/>
    </row>
    <row r="179" spans="1:19" s="12" customFormat="1" x14ac:dyDescent="0.2">
      <c r="A179" s="25"/>
      <c r="D179" s="65"/>
      <c r="E179" s="65"/>
      <c r="J179" s="345"/>
      <c r="L179" s="635"/>
      <c r="M179" s="698"/>
      <c r="N179" s="726"/>
      <c r="O179" s="669"/>
      <c r="P179" s="669"/>
      <c r="Q179" s="669"/>
      <c r="R179" s="669"/>
      <c r="S179" s="669"/>
    </row>
    <row r="180" spans="1:19" s="12" customFormat="1" x14ac:dyDescent="0.2">
      <c r="A180" s="25"/>
      <c r="D180" s="65"/>
      <c r="E180" s="65"/>
      <c r="J180" s="345"/>
      <c r="L180" s="635"/>
      <c r="M180" s="698"/>
      <c r="N180" s="726"/>
      <c r="O180" s="669"/>
      <c r="P180" s="669"/>
      <c r="Q180" s="669"/>
      <c r="R180" s="669"/>
      <c r="S180" s="669"/>
    </row>
    <row r="181" spans="1:19" s="12" customFormat="1" x14ac:dyDescent="0.2">
      <c r="A181" s="25"/>
      <c r="D181" s="65"/>
      <c r="E181" s="65"/>
      <c r="J181" s="345"/>
      <c r="L181" s="635"/>
      <c r="M181" s="698"/>
      <c r="N181" s="726"/>
      <c r="O181" s="669"/>
      <c r="P181" s="669"/>
      <c r="Q181" s="669"/>
      <c r="R181" s="669"/>
      <c r="S181" s="669"/>
    </row>
    <row r="182" spans="1:19" s="12" customFormat="1" x14ac:dyDescent="0.2">
      <c r="A182" s="25"/>
      <c r="D182" s="65"/>
      <c r="E182" s="65"/>
      <c r="J182" s="345"/>
      <c r="L182" s="635"/>
      <c r="M182" s="698"/>
      <c r="N182" s="726"/>
      <c r="O182" s="669"/>
      <c r="P182" s="669"/>
      <c r="Q182" s="669"/>
      <c r="R182" s="669"/>
      <c r="S182" s="669"/>
    </row>
    <row r="183" spans="1:19" s="12" customFormat="1" x14ac:dyDescent="0.2">
      <c r="A183" s="25"/>
      <c r="D183" s="65"/>
      <c r="E183" s="65"/>
      <c r="J183" s="345"/>
      <c r="L183" s="635"/>
      <c r="M183" s="698"/>
      <c r="N183" s="726"/>
      <c r="O183" s="669"/>
      <c r="P183" s="669"/>
      <c r="Q183" s="669"/>
      <c r="R183" s="669"/>
      <c r="S183" s="669"/>
    </row>
    <row r="184" spans="1:19" s="12" customFormat="1" x14ac:dyDescent="0.2">
      <c r="A184" s="25"/>
      <c r="D184" s="65"/>
      <c r="E184" s="65"/>
      <c r="J184" s="345"/>
      <c r="L184" s="635"/>
      <c r="M184" s="698"/>
      <c r="N184" s="726"/>
      <c r="O184" s="669"/>
      <c r="P184" s="669"/>
      <c r="Q184" s="669"/>
      <c r="R184" s="669"/>
      <c r="S184" s="669"/>
    </row>
    <row r="185" spans="1:19" s="12" customFormat="1" x14ac:dyDescent="0.2">
      <c r="A185" s="25"/>
      <c r="D185" s="65"/>
      <c r="E185" s="65"/>
      <c r="J185" s="345"/>
      <c r="L185" s="635"/>
      <c r="M185" s="698"/>
      <c r="N185" s="726"/>
      <c r="O185" s="669"/>
      <c r="P185" s="669"/>
      <c r="Q185" s="669"/>
      <c r="R185" s="669"/>
      <c r="S185" s="669"/>
    </row>
    <row r="186" spans="1:19" s="12" customFormat="1" x14ac:dyDescent="0.2">
      <c r="A186" s="25"/>
      <c r="D186" s="65"/>
      <c r="E186" s="65"/>
      <c r="J186" s="345"/>
      <c r="L186" s="635"/>
      <c r="M186" s="698"/>
      <c r="N186" s="726"/>
      <c r="O186" s="669"/>
      <c r="P186" s="669"/>
      <c r="Q186" s="669"/>
      <c r="R186" s="669"/>
      <c r="S186" s="669"/>
    </row>
    <row r="187" spans="1:19" s="12" customFormat="1" x14ac:dyDescent="0.2">
      <c r="J187" s="345"/>
      <c r="L187" s="635"/>
      <c r="M187" s="698"/>
      <c r="N187" s="726"/>
      <c r="O187" s="669"/>
      <c r="P187" s="669"/>
      <c r="Q187" s="669"/>
      <c r="R187" s="669"/>
      <c r="S187" s="669"/>
    </row>
    <row r="188" spans="1:19" s="12" customFormat="1" x14ac:dyDescent="0.2">
      <c r="A188" s="738"/>
      <c r="B188" s="738"/>
      <c r="C188" s="738"/>
      <c r="D188" s="738"/>
      <c r="E188" s="738"/>
      <c r="F188" s="65"/>
      <c r="G188" s="468"/>
      <c r="J188" s="345"/>
      <c r="L188" s="635"/>
      <c r="M188" s="698"/>
      <c r="N188" s="726"/>
      <c r="O188" s="669"/>
      <c r="P188" s="669"/>
      <c r="Q188" s="669"/>
      <c r="R188" s="669"/>
      <c r="S188" s="669"/>
    </row>
    <row r="189" spans="1:19" s="12" customFormat="1" x14ac:dyDescent="0.2">
      <c r="A189" s="26"/>
      <c r="D189" s="23"/>
      <c r="E189" s="53"/>
      <c r="F189" s="53"/>
      <c r="G189" s="53"/>
      <c r="H189" s="53"/>
      <c r="J189" s="345"/>
      <c r="L189" s="635"/>
      <c r="M189" s="698"/>
      <c r="N189" s="726"/>
      <c r="O189" s="669"/>
      <c r="P189" s="669"/>
      <c r="Q189" s="669"/>
      <c r="R189" s="669"/>
      <c r="S189" s="669"/>
    </row>
    <row r="190" spans="1:19" s="12" customFormat="1" x14ac:dyDescent="0.2">
      <c r="A190" s="23"/>
      <c r="D190" s="23"/>
      <c r="E190" s="23"/>
      <c r="F190" s="23"/>
      <c r="G190" s="23"/>
      <c r="H190" s="23"/>
      <c r="J190" s="345"/>
      <c r="L190" s="635"/>
      <c r="M190" s="698"/>
      <c r="N190" s="726"/>
      <c r="O190" s="669"/>
      <c r="P190" s="669"/>
      <c r="Q190" s="669"/>
      <c r="R190" s="669"/>
      <c r="S190" s="669"/>
    </row>
    <row r="191" spans="1:19" s="12" customFormat="1" x14ac:dyDescent="0.2">
      <c r="A191" s="23"/>
      <c r="D191" s="54"/>
      <c r="E191" s="54"/>
      <c r="F191" s="54"/>
      <c r="G191" s="54"/>
      <c r="H191" s="54"/>
      <c r="J191" s="345"/>
      <c r="L191" s="635"/>
      <c r="M191" s="698"/>
      <c r="N191" s="726"/>
      <c r="O191" s="669"/>
      <c r="P191" s="669"/>
      <c r="Q191" s="669"/>
      <c r="R191" s="669"/>
      <c r="S191" s="669"/>
    </row>
    <row r="192" spans="1:19" s="12" customFormat="1" x14ac:dyDescent="0.2">
      <c r="A192" s="23"/>
      <c r="D192" s="54"/>
      <c r="E192" s="54"/>
      <c r="F192" s="54"/>
      <c r="G192" s="54"/>
      <c r="H192" s="54"/>
      <c r="J192" s="345"/>
      <c r="L192" s="635"/>
      <c r="M192" s="698"/>
      <c r="N192" s="726"/>
      <c r="O192" s="669"/>
      <c r="P192" s="669"/>
      <c r="Q192" s="669"/>
      <c r="R192" s="669"/>
      <c r="S192" s="669"/>
    </row>
    <row r="193" spans="1:19" s="12" customFormat="1" x14ac:dyDescent="0.2">
      <c r="A193" s="26"/>
      <c r="D193" s="55"/>
      <c r="E193" s="55"/>
      <c r="F193" s="55"/>
      <c r="G193" s="55"/>
      <c r="H193" s="55"/>
      <c r="J193" s="345"/>
      <c r="L193" s="635"/>
      <c r="M193" s="698"/>
      <c r="N193" s="726"/>
      <c r="O193" s="669"/>
      <c r="P193" s="669"/>
      <c r="Q193" s="669"/>
      <c r="R193" s="669"/>
      <c r="S193" s="669"/>
    </row>
    <row r="194" spans="1:19" s="12" customFormat="1" x14ac:dyDescent="0.2">
      <c r="A194" s="26"/>
      <c r="D194" s="55"/>
      <c r="E194" s="55"/>
      <c r="F194" s="55"/>
      <c r="G194" s="55"/>
      <c r="H194" s="55"/>
      <c r="J194" s="345"/>
      <c r="L194" s="635"/>
      <c r="M194" s="698"/>
      <c r="N194" s="726"/>
      <c r="O194" s="669"/>
      <c r="P194" s="669"/>
      <c r="Q194" s="669"/>
      <c r="R194" s="669"/>
      <c r="S194" s="669"/>
    </row>
    <row r="195" spans="1:19" s="12" customFormat="1" x14ac:dyDescent="0.2">
      <c r="A195" s="26"/>
      <c r="D195" s="55"/>
      <c r="E195" s="55"/>
      <c r="F195" s="55"/>
      <c r="G195" s="55"/>
      <c r="H195" s="55"/>
      <c r="J195" s="345"/>
      <c r="L195" s="635"/>
      <c r="M195" s="698"/>
      <c r="N195" s="726"/>
      <c r="O195" s="669"/>
      <c r="P195" s="669"/>
      <c r="Q195" s="669"/>
      <c r="R195" s="669"/>
      <c r="S195" s="669"/>
    </row>
    <row r="196" spans="1:19" s="12" customFormat="1" x14ac:dyDescent="0.2">
      <c r="A196" s="26"/>
      <c r="D196" s="55"/>
      <c r="E196" s="55"/>
      <c r="F196" s="55"/>
      <c r="G196" s="55"/>
      <c r="H196" s="55"/>
      <c r="J196" s="345"/>
      <c r="L196" s="635"/>
      <c r="M196" s="698"/>
      <c r="N196" s="726"/>
      <c r="O196" s="669"/>
      <c r="P196" s="669"/>
      <c r="Q196" s="669"/>
      <c r="R196" s="669"/>
      <c r="S196" s="669"/>
    </row>
    <row r="197" spans="1:19" s="12" customFormat="1" x14ac:dyDescent="0.2">
      <c r="A197" s="26"/>
      <c r="D197" s="55"/>
      <c r="E197" s="55"/>
      <c r="F197" s="55"/>
      <c r="G197" s="55"/>
      <c r="H197" s="55"/>
      <c r="J197" s="345"/>
      <c r="L197" s="635"/>
      <c r="M197" s="698"/>
      <c r="N197" s="726"/>
      <c r="O197" s="669"/>
      <c r="P197" s="669"/>
      <c r="Q197" s="669"/>
      <c r="R197" s="669"/>
      <c r="S197" s="669"/>
    </row>
    <row r="198" spans="1:19" s="12" customFormat="1" x14ac:dyDescent="0.2">
      <c r="A198" s="26"/>
      <c r="D198" s="55"/>
      <c r="E198" s="55"/>
      <c r="F198" s="55"/>
      <c r="G198" s="55"/>
      <c r="H198" s="55"/>
      <c r="J198" s="345"/>
      <c r="L198" s="635"/>
      <c r="M198" s="698"/>
      <c r="N198" s="726"/>
      <c r="O198" s="669"/>
      <c r="P198" s="669"/>
      <c r="Q198" s="669"/>
      <c r="R198" s="669"/>
      <c r="S198" s="669"/>
    </row>
    <row r="199" spans="1:19" s="12" customFormat="1" x14ac:dyDescent="0.2">
      <c r="A199" s="25"/>
      <c r="D199" s="55"/>
      <c r="E199" s="55"/>
      <c r="F199" s="55"/>
      <c r="G199" s="55"/>
      <c r="H199" s="55"/>
      <c r="J199" s="345"/>
      <c r="L199" s="635"/>
      <c r="M199" s="698"/>
      <c r="N199" s="726"/>
      <c r="O199" s="669"/>
      <c r="P199" s="669"/>
      <c r="Q199" s="669"/>
      <c r="R199" s="669"/>
      <c r="S199" s="669"/>
    </row>
    <row r="200" spans="1:19" s="12" customFormat="1" x14ac:dyDescent="0.2">
      <c r="A200" s="25"/>
      <c r="D200" s="55"/>
      <c r="E200" s="55"/>
      <c r="F200" s="55"/>
      <c r="G200" s="55"/>
      <c r="H200" s="55"/>
      <c r="J200" s="345"/>
      <c r="L200" s="635"/>
      <c r="M200" s="698"/>
      <c r="N200" s="726"/>
      <c r="O200" s="669"/>
      <c r="P200" s="669"/>
      <c r="Q200" s="669"/>
      <c r="R200" s="669"/>
      <c r="S200" s="669"/>
    </row>
    <row r="201" spans="1:19" s="12" customFormat="1" x14ac:dyDescent="0.2">
      <c r="A201" s="25"/>
      <c r="D201" s="55"/>
      <c r="E201" s="55"/>
      <c r="F201" s="55"/>
      <c r="G201" s="55"/>
      <c r="H201" s="55"/>
      <c r="J201" s="345"/>
      <c r="L201" s="635"/>
      <c r="M201" s="698"/>
      <c r="N201" s="726"/>
      <c r="O201" s="669"/>
      <c r="P201" s="669"/>
      <c r="Q201" s="669"/>
      <c r="R201" s="669"/>
      <c r="S201" s="669"/>
    </row>
    <row r="202" spans="1:19" s="12" customFormat="1" x14ac:dyDescent="0.2">
      <c r="A202" s="26"/>
      <c r="D202" s="55"/>
      <c r="E202" s="55"/>
      <c r="F202" s="55"/>
      <c r="G202" s="55"/>
      <c r="H202" s="55"/>
      <c r="J202" s="345"/>
      <c r="L202" s="635"/>
      <c r="M202" s="698"/>
      <c r="N202" s="726"/>
      <c r="O202" s="669"/>
      <c r="P202" s="669"/>
      <c r="Q202" s="669"/>
      <c r="R202" s="669"/>
      <c r="S202" s="669"/>
    </row>
    <row r="203" spans="1:19" s="12" customFormat="1" x14ac:dyDescent="0.2">
      <c r="A203" s="26"/>
      <c r="D203" s="55"/>
      <c r="E203" s="55"/>
      <c r="F203" s="55"/>
      <c r="G203" s="55"/>
      <c r="H203" s="55"/>
      <c r="J203" s="345"/>
      <c r="L203" s="635"/>
      <c r="M203" s="698"/>
      <c r="N203" s="726"/>
      <c r="O203" s="669"/>
      <c r="P203" s="669"/>
      <c r="Q203" s="669"/>
      <c r="R203" s="669"/>
      <c r="S203" s="669"/>
    </row>
    <row r="204" spans="1:19" s="12" customFormat="1" x14ac:dyDescent="0.2">
      <c r="A204" s="26"/>
      <c r="D204" s="55"/>
      <c r="E204" s="55"/>
      <c r="F204" s="55"/>
      <c r="G204" s="55"/>
      <c r="H204" s="55"/>
      <c r="J204" s="345"/>
      <c r="L204" s="635"/>
      <c r="M204" s="698"/>
      <c r="N204" s="726"/>
      <c r="O204" s="669"/>
      <c r="P204" s="669"/>
      <c r="Q204" s="669"/>
      <c r="R204" s="669"/>
      <c r="S204" s="669"/>
    </row>
    <row r="205" spans="1:19" s="12" customFormat="1" x14ac:dyDescent="0.2">
      <c r="A205" s="26"/>
      <c r="D205" s="55"/>
      <c r="E205" s="55"/>
      <c r="F205" s="55"/>
      <c r="G205" s="55"/>
      <c r="H205" s="55"/>
      <c r="J205" s="345"/>
      <c r="L205" s="635"/>
      <c r="M205" s="698"/>
      <c r="N205" s="726"/>
      <c r="O205" s="669"/>
      <c r="P205" s="669"/>
      <c r="Q205" s="669"/>
      <c r="R205" s="669"/>
      <c r="S205" s="669"/>
    </row>
    <row r="206" spans="1:19" s="12" customFormat="1" x14ac:dyDescent="0.2">
      <c r="A206" s="65"/>
      <c r="B206" s="65"/>
      <c r="C206" s="65"/>
      <c r="D206" s="65"/>
      <c r="E206" s="65"/>
      <c r="F206" s="65"/>
      <c r="G206" s="468"/>
      <c r="J206" s="345"/>
      <c r="L206" s="635"/>
      <c r="M206" s="698"/>
      <c r="N206" s="726"/>
      <c r="O206" s="669"/>
      <c r="P206" s="669"/>
      <c r="Q206" s="669"/>
      <c r="R206" s="669"/>
      <c r="S206" s="669"/>
    </row>
    <row r="207" spans="1:19" s="12" customFormat="1" x14ac:dyDescent="0.2">
      <c r="A207" s="65"/>
      <c r="B207" s="65"/>
      <c r="C207" s="65"/>
      <c r="D207" s="65"/>
      <c r="E207" s="65"/>
      <c r="F207" s="65"/>
      <c r="G207" s="468"/>
      <c r="J207" s="345"/>
      <c r="L207" s="635"/>
      <c r="M207" s="698"/>
      <c r="N207" s="726"/>
      <c r="O207" s="669"/>
      <c r="P207" s="669"/>
      <c r="Q207" s="669"/>
      <c r="R207" s="669"/>
      <c r="S207" s="669"/>
    </row>
    <row r="208" spans="1:19" s="12" customFormat="1" x14ac:dyDescent="0.2">
      <c r="A208" s="14"/>
      <c r="B208" s="65"/>
      <c r="C208" s="65"/>
      <c r="D208" s="65"/>
      <c r="E208" s="65"/>
      <c r="F208" s="65"/>
      <c r="G208" s="468"/>
      <c r="J208" s="345"/>
      <c r="L208" s="635"/>
      <c r="M208" s="698"/>
      <c r="N208" s="726"/>
      <c r="O208" s="669"/>
      <c r="P208" s="669"/>
      <c r="Q208" s="669"/>
      <c r="R208" s="669"/>
      <c r="S208" s="669"/>
    </row>
    <row r="209" spans="1:19" s="12" customFormat="1" x14ac:dyDescent="0.2">
      <c r="A209" s="27"/>
      <c r="D209" s="28"/>
      <c r="E209" s="56"/>
      <c r="F209" s="56"/>
      <c r="G209" s="56"/>
      <c r="H209" s="53"/>
      <c r="J209" s="345"/>
      <c r="L209" s="635"/>
      <c r="M209" s="698"/>
      <c r="N209" s="726"/>
      <c r="O209" s="669"/>
      <c r="P209" s="669"/>
      <c r="Q209" s="669"/>
      <c r="R209" s="669"/>
      <c r="S209" s="669"/>
    </row>
    <row r="210" spans="1:19" s="12" customFormat="1" x14ac:dyDescent="0.2">
      <c r="A210" s="28"/>
      <c r="D210" s="28"/>
      <c r="E210" s="28"/>
      <c r="F210" s="28"/>
      <c r="G210" s="28"/>
      <c r="H210" s="28"/>
      <c r="J210" s="345"/>
      <c r="L210" s="635"/>
      <c r="M210" s="698"/>
      <c r="N210" s="726"/>
      <c r="O210" s="669"/>
      <c r="P210" s="669"/>
      <c r="Q210" s="669"/>
      <c r="R210" s="669"/>
      <c r="S210" s="669"/>
    </row>
    <row r="211" spans="1:19" s="12" customFormat="1" x14ac:dyDescent="0.2">
      <c r="A211" s="23"/>
      <c r="D211" s="54"/>
      <c r="E211" s="54"/>
      <c r="F211" s="54"/>
      <c r="G211" s="54"/>
      <c r="H211" s="54"/>
      <c r="J211" s="345"/>
      <c r="L211" s="635"/>
      <c r="M211" s="698"/>
      <c r="N211" s="726"/>
      <c r="O211" s="669"/>
      <c r="P211" s="669"/>
      <c r="Q211" s="669"/>
      <c r="R211" s="669"/>
      <c r="S211" s="669"/>
    </row>
    <row r="212" spans="1:19" s="12" customFormat="1" x14ac:dyDescent="0.2">
      <c r="A212" s="23"/>
      <c r="D212" s="54"/>
      <c r="E212" s="54"/>
      <c r="F212" s="54"/>
      <c r="G212" s="54"/>
      <c r="H212" s="54"/>
      <c r="J212" s="345"/>
      <c r="L212" s="635"/>
      <c r="M212" s="698"/>
      <c r="N212" s="726"/>
      <c r="O212" s="669"/>
      <c r="P212" s="669"/>
      <c r="Q212" s="669"/>
      <c r="R212" s="669"/>
      <c r="S212" s="669"/>
    </row>
    <row r="213" spans="1:19" s="12" customFormat="1" x14ac:dyDescent="0.2">
      <c r="A213" s="27"/>
      <c r="D213" s="55"/>
      <c r="E213" s="55"/>
      <c r="F213" s="55"/>
      <c r="G213" s="55"/>
      <c r="H213" s="55"/>
      <c r="J213" s="345"/>
      <c r="L213" s="635"/>
      <c r="M213" s="698"/>
      <c r="N213" s="726"/>
      <c r="O213" s="669"/>
      <c r="P213" s="669"/>
      <c r="Q213" s="669"/>
      <c r="R213" s="669"/>
      <c r="S213" s="669"/>
    </row>
    <row r="214" spans="1:19" s="12" customFormat="1" x14ac:dyDescent="0.2">
      <c r="A214" s="27"/>
      <c r="D214" s="55"/>
      <c r="E214" s="55"/>
      <c r="F214" s="55"/>
      <c r="G214" s="55"/>
      <c r="H214" s="55"/>
      <c r="J214" s="345"/>
      <c r="L214" s="635"/>
      <c r="M214" s="698"/>
      <c r="N214" s="726"/>
      <c r="O214" s="669"/>
      <c r="P214" s="669"/>
      <c r="Q214" s="669"/>
      <c r="R214" s="669"/>
      <c r="S214" s="669"/>
    </row>
    <row r="215" spans="1:19" s="12" customFormat="1" x14ac:dyDescent="0.2">
      <c r="A215" s="27"/>
      <c r="D215" s="55"/>
      <c r="E215" s="55"/>
      <c r="F215" s="55"/>
      <c r="G215" s="55"/>
      <c r="H215" s="55"/>
      <c r="J215" s="345"/>
      <c r="L215" s="635"/>
      <c r="M215" s="698"/>
      <c r="N215" s="726"/>
      <c r="O215" s="669"/>
      <c r="P215" s="669"/>
      <c r="Q215" s="669"/>
      <c r="R215" s="669"/>
      <c r="S215" s="669"/>
    </row>
    <row r="216" spans="1:19" s="12" customFormat="1" x14ac:dyDescent="0.2">
      <c r="A216" s="27"/>
      <c r="D216" s="55"/>
      <c r="E216" s="55"/>
      <c r="F216" s="55"/>
      <c r="G216" s="55"/>
      <c r="H216" s="55"/>
      <c r="J216" s="345"/>
      <c r="L216" s="635"/>
      <c r="M216" s="698"/>
      <c r="N216" s="726"/>
      <c r="O216" s="669"/>
      <c r="P216" s="669"/>
      <c r="Q216" s="669"/>
      <c r="R216" s="669"/>
      <c r="S216" s="669"/>
    </row>
    <row r="217" spans="1:19" s="12" customFormat="1" x14ac:dyDescent="0.2">
      <c r="A217" s="27"/>
      <c r="D217" s="55"/>
      <c r="E217" s="55"/>
      <c r="F217" s="55"/>
      <c r="G217" s="55"/>
      <c r="H217" s="55"/>
      <c r="J217" s="345"/>
      <c r="L217" s="635"/>
      <c r="M217" s="698"/>
      <c r="N217" s="726"/>
      <c r="O217" s="669"/>
      <c r="P217" s="669"/>
      <c r="Q217" s="669"/>
      <c r="R217" s="669"/>
      <c r="S217" s="669"/>
    </row>
    <row r="218" spans="1:19" s="12" customFormat="1" x14ac:dyDescent="0.2">
      <c r="A218" s="27"/>
      <c r="D218" s="55"/>
      <c r="E218" s="55"/>
      <c r="F218" s="55"/>
      <c r="G218" s="55"/>
      <c r="H218" s="55"/>
      <c r="J218" s="345"/>
      <c r="L218" s="635"/>
      <c r="M218" s="698"/>
      <c r="N218" s="726"/>
      <c r="O218" s="669"/>
      <c r="P218" s="669"/>
      <c r="Q218" s="669"/>
      <c r="R218" s="669"/>
      <c r="S218" s="669"/>
    </row>
    <row r="219" spans="1:19" s="12" customFormat="1" x14ac:dyDescent="0.2">
      <c r="A219" s="25"/>
      <c r="D219" s="55"/>
      <c r="E219" s="55"/>
      <c r="F219" s="55"/>
      <c r="G219" s="55"/>
      <c r="H219" s="55"/>
      <c r="J219" s="345"/>
      <c r="L219" s="635"/>
      <c r="M219" s="698"/>
      <c r="N219" s="726"/>
      <c r="O219" s="669"/>
      <c r="P219" s="669"/>
      <c r="Q219" s="669"/>
      <c r="R219" s="669"/>
      <c r="S219" s="669"/>
    </row>
    <row r="220" spans="1:19" s="12" customFormat="1" x14ac:dyDescent="0.2">
      <c r="A220" s="25"/>
      <c r="D220" s="55"/>
      <c r="E220" s="55"/>
      <c r="F220" s="55"/>
      <c r="G220" s="55"/>
      <c r="H220" s="55"/>
      <c r="J220" s="345"/>
      <c r="L220" s="635"/>
      <c r="M220" s="698"/>
      <c r="N220" s="726"/>
      <c r="O220" s="669"/>
      <c r="P220" s="669"/>
      <c r="Q220" s="669"/>
      <c r="R220" s="669"/>
      <c r="S220" s="669"/>
    </row>
    <row r="221" spans="1:19" s="12" customFormat="1" x14ac:dyDescent="0.2">
      <c r="A221" s="25"/>
      <c r="D221" s="55"/>
      <c r="E221" s="55"/>
      <c r="F221" s="55"/>
      <c r="G221" s="55"/>
      <c r="H221" s="55"/>
      <c r="J221" s="345"/>
      <c r="L221" s="635"/>
      <c r="M221" s="698"/>
      <c r="N221" s="726"/>
      <c r="O221" s="669"/>
      <c r="P221" s="669"/>
      <c r="Q221" s="669"/>
      <c r="R221" s="669"/>
      <c r="S221" s="669"/>
    </row>
    <row r="222" spans="1:19" s="12" customFormat="1" x14ac:dyDescent="0.2">
      <c r="A222" s="27"/>
      <c r="D222" s="55"/>
      <c r="E222" s="55"/>
      <c r="F222" s="55"/>
      <c r="G222" s="55"/>
      <c r="H222" s="55"/>
      <c r="J222" s="345"/>
      <c r="L222" s="635"/>
      <c r="M222" s="698"/>
      <c r="N222" s="726"/>
      <c r="O222" s="669"/>
      <c r="P222" s="669"/>
      <c r="Q222" s="669"/>
      <c r="R222" s="669"/>
      <c r="S222" s="669"/>
    </row>
    <row r="223" spans="1:19" s="12" customFormat="1" x14ac:dyDescent="0.2">
      <c r="A223" s="27"/>
      <c r="D223" s="55"/>
      <c r="E223" s="55"/>
      <c r="F223" s="55"/>
      <c r="G223" s="55"/>
      <c r="H223" s="55"/>
      <c r="J223" s="345"/>
      <c r="L223" s="635"/>
      <c r="M223" s="698"/>
      <c r="N223" s="726"/>
      <c r="O223" s="669"/>
      <c r="P223" s="669"/>
      <c r="Q223" s="669"/>
      <c r="R223" s="669"/>
      <c r="S223" s="669"/>
    </row>
    <row r="224" spans="1:19" s="12" customFormat="1" x14ac:dyDescent="0.2">
      <c r="A224" s="27"/>
      <c r="D224" s="55"/>
      <c r="E224" s="55"/>
      <c r="F224" s="55"/>
      <c r="G224" s="55"/>
      <c r="H224" s="55"/>
      <c r="J224" s="345"/>
      <c r="L224" s="635"/>
      <c r="M224" s="698"/>
      <c r="N224" s="726"/>
      <c r="O224" s="669"/>
      <c r="P224" s="669"/>
      <c r="Q224" s="669"/>
      <c r="R224" s="669"/>
      <c r="S224" s="669"/>
    </row>
    <row r="225" spans="1:19" s="12" customFormat="1" x14ac:dyDescent="0.2">
      <c r="A225" s="27"/>
      <c r="D225" s="55"/>
      <c r="E225" s="55"/>
      <c r="F225" s="55"/>
      <c r="G225" s="55"/>
      <c r="H225" s="55"/>
      <c r="J225" s="345"/>
      <c r="L225" s="635"/>
      <c r="M225" s="698"/>
      <c r="N225" s="726"/>
      <c r="O225" s="669"/>
      <c r="P225" s="669"/>
      <c r="Q225" s="669"/>
      <c r="R225" s="669"/>
      <c r="S225" s="669"/>
    </row>
    <row r="226" spans="1:19" s="12" customFormat="1" x14ac:dyDescent="0.2">
      <c r="J226" s="345"/>
      <c r="L226" s="635"/>
      <c r="M226" s="698"/>
      <c r="N226" s="726"/>
      <c r="O226" s="669"/>
      <c r="P226" s="669"/>
      <c r="Q226" s="669"/>
      <c r="R226" s="669"/>
      <c r="S226" s="669"/>
    </row>
    <row r="227" spans="1:19" s="12" customFormat="1" x14ac:dyDescent="0.2">
      <c r="J227" s="345"/>
      <c r="L227" s="635"/>
      <c r="M227" s="698"/>
      <c r="N227" s="726"/>
      <c r="O227" s="669"/>
      <c r="P227" s="669"/>
      <c r="Q227" s="669"/>
      <c r="R227" s="669"/>
      <c r="S227" s="669"/>
    </row>
    <row r="228" spans="1:19" s="12" customFormat="1" x14ac:dyDescent="0.2">
      <c r="A228" s="65"/>
      <c r="D228" s="4"/>
      <c r="J228" s="345"/>
      <c r="L228" s="635"/>
      <c r="M228" s="698"/>
      <c r="N228" s="726"/>
      <c r="O228" s="669"/>
      <c r="P228" s="669"/>
      <c r="Q228" s="669"/>
      <c r="R228" s="669"/>
      <c r="S228" s="669"/>
    </row>
    <row r="229" spans="1:19" s="12" customFormat="1" x14ac:dyDescent="0.2">
      <c r="A229" s="65"/>
      <c r="D229" s="57"/>
      <c r="J229" s="345"/>
      <c r="L229" s="635"/>
      <c r="M229" s="698"/>
      <c r="N229" s="726"/>
      <c r="O229" s="669"/>
      <c r="P229" s="669"/>
      <c r="Q229" s="669"/>
      <c r="R229" s="669"/>
      <c r="S229" s="669"/>
    </row>
    <row r="230" spans="1:19" s="12" customFormat="1" x14ac:dyDescent="0.2">
      <c r="A230" s="65"/>
      <c r="D230" s="57"/>
      <c r="J230" s="345"/>
      <c r="L230" s="635"/>
      <c r="M230" s="698"/>
      <c r="N230" s="726"/>
      <c r="O230" s="669"/>
      <c r="P230" s="669"/>
      <c r="Q230" s="669"/>
      <c r="R230" s="669"/>
      <c r="S230" s="669"/>
    </row>
    <row r="231" spans="1:19" s="12" customFormat="1" x14ac:dyDescent="0.2">
      <c r="A231" s="25"/>
      <c r="D231" s="29"/>
      <c r="J231" s="345"/>
      <c r="L231" s="635"/>
      <c r="M231" s="698"/>
      <c r="N231" s="726"/>
      <c r="O231" s="669"/>
      <c r="P231" s="669"/>
      <c r="Q231" s="669"/>
      <c r="R231" s="669"/>
      <c r="S231" s="669"/>
    </row>
    <row r="232" spans="1:19" s="12" customFormat="1" x14ac:dyDescent="0.2">
      <c r="A232" s="25"/>
      <c r="D232" s="29"/>
      <c r="J232" s="345"/>
      <c r="L232" s="635"/>
      <c r="M232" s="698"/>
      <c r="N232" s="726"/>
      <c r="O232" s="669"/>
      <c r="P232" s="669"/>
      <c r="Q232" s="669"/>
      <c r="R232" s="669"/>
      <c r="S232" s="669"/>
    </row>
    <row r="233" spans="1:19" s="12" customFormat="1" x14ac:dyDescent="0.2">
      <c r="A233" s="25"/>
      <c r="D233" s="29"/>
      <c r="J233" s="345"/>
      <c r="L233" s="635"/>
      <c r="M233" s="698"/>
      <c r="N233" s="726"/>
      <c r="O233" s="669"/>
      <c r="P233" s="669"/>
      <c r="Q233" s="669"/>
      <c r="R233" s="669"/>
      <c r="S233" s="669"/>
    </row>
    <row r="234" spans="1:19" s="12" customFormat="1" x14ac:dyDescent="0.2">
      <c r="A234" s="25"/>
      <c r="D234" s="29"/>
      <c r="J234" s="345"/>
      <c r="L234" s="635"/>
      <c r="M234" s="698"/>
      <c r="N234" s="726"/>
      <c r="O234" s="669"/>
      <c r="P234" s="669"/>
      <c r="Q234" s="669"/>
      <c r="R234" s="669"/>
      <c r="S234" s="669"/>
    </row>
    <row r="235" spans="1:19" s="12" customFormat="1" x14ac:dyDescent="0.2">
      <c r="A235" s="25"/>
      <c r="D235" s="29"/>
      <c r="J235" s="345"/>
      <c r="L235" s="635"/>
      <c r="M235" s="698"/>
      <c r="N235" s="726"/>
      <c r="O235" s="669"/>
      <c r="P235" s="669"/>
      <c r="Q235" s="669"/>
      <c r="R235" s="669"/>
      <c r="S235" s="669"/>
    </row>
    <row r="236" spans="1:19" s="12" customFormat="1" x14ac:dyDescent="0.2">
      <c r="A236" s="25"/>
      <c r="D236" s="29"/>
      <c r="J236" s="345"/>
      <c r="L236" s="635"/>
      <c r="M236" s="698"/>
      <c r="N236" s="726"/>
      <c r="O236" s="669"/>
      <c r="P236" s="669"/>
      <c r="Q236" s="669"/>
      <c r="R236" s="669"/>
      <c r="S236" s="669"/>
    </row>
    <row r="237" spans="1:19" s="12" customFormat="1" x14ac:dyDescent="0.2">
      <c r="A237" s="25"/>
      <c r="D237" s="29"/>
      <c r="J237" s="345"/>
      <c r="L237" s="635"/>
      <c r="M237" s="698"/>
      <c r="N237" s="726"/>
      <c r="O237" s="669"/>
      <c r="P237" s="669"/>
      <c r="Q237" s="669"/>
      <c r="R237" s="669"/>
      <c r="S237" s="669"/>
    </row>
    <row r="238" spans="1:19" s="12" customFormat="1" x14ac:dyDescent="0.2">
      <c r="A238" s="25"/>
      <c r="D238" s="29"/>
      <c r="J238" s="345"/>
      <c r="L238" s="635"/>
      <c r="M238" s="698"/>
      <c r="N238" s="726"/>
      <c r="O238" s="669"/>
      <c r="P238" s="669"/>
      <c r="Q238" s="669"/>
      <c r="R238" s="669"/>
      <c r="S238" s="669"/>
    </row>
    <row r="239" spans="1:19" s="12" customFormat="1" x14ac:dyDescent="0.2">
      <c r="A239" s="25"/>
      <c r="D239" s="29"/>
      <c r="J239" s="345"/>
      <c r="L239" s="635"/>
      <c r="M239" s="698"/>
      <c r="N239" s="726"/>
      <c r="O239" s="669"/>
      <c r="P239" s="669"/>
      <c r="Q239" s="669"/>
      <c r="R239" s="669"/>
      <c r="S239" s="669"/>
    </row>
    <row r="240" spans="1:19" s="12" customFormat="1" x14ac:dyDescent="0.2">
      <c r="A240" s="25"/>
      <c r="D240" s="29"/>
      <c r="J240" s="345"/>
      <c r="L240" s="635"/>
      <c r="M240" s="698"/>
      <c r="N240" s="726"/>
      <c r="O240" s="669"/>
      <c r="P240" s="669"/>
      <c r="Q240" s="669"/>
      <c r="R240" s="669"/>
      <c r="S240" s="669"/>
    </row>
    <row r="241" spans="1:19" s="12" customFormat="1" x14ac:dyDescent="0.2">
      <c r="A241" s="25"/>
      <c r="D241" s="29"/>
      <c r="J241" s="345"/>
      <c r="L241" s="635"/>
      <c r="M241" s="698"/>
      <c r="N241" s="726"/>
      <c r="O241" s="669"/>
      <c r="P241" s="669"/>
      <c r="Q241" s="669"/>
      <c r="R241" s="669"/>
      <c r="S241" s="669"/>
    </row>
    <row r="242" spans="1:19" s="12" customFormat="1" x14ac:dyDescent="0.2">
      <c r="A242" s="25"/>
      <c r="D242" s="29"/>
      <c r="J242" s="345"/>
      <c r="L242" s="635"/>
      <c r="M242" s="698"/>
      <c r="N242" s="726"/>
      <c r="O242" s="669"/>
      <c r="P242" s="669"/>
      <c r="Q242" s="669"/>
      <c r="R242" s="669"/>
      <c r="S242" s="669"/>
    </row>
    <row r="243" spans="1:19" s="12" customFormat="1" x14ac:dyDescent="0.2">
      <c r="A243" s="25"/>
      <c r="D243" s="29"/>
      <c r="J243" s="345"/>
      <c r="L243" s="635"/>
      <c r="M243" s="698"/>
      <c r="N243" s="726"/>
      <c r="O243" s="669"/>
      <c r="P243" s="669"/>
      <c r="Q243" s="669"/>
      <c r="R243" s="669"/>
      <c r="S243" s="669"/>
    </row>
    <row r="244" spans="1:19" s="12" customFormat="1" x14ac:dyDescent="0.2">
      <c r="J244" s="345"/>
      <c r="L244" s="635"/>
      <c r="M244" s="698"/>
      <c r="N244" s="726"/>
      <c r="O244" s="669"/>
      <c r="P244" s="669"/>
      <c r="Q244" s="669"/>
      <c r="R244" s="669"/>
      <c r="S244" s="669"/>
    </row>
    <row r="245" spans="1:19" s="12" customFormat="1" x14ac:dyDescent="0.2">
      <c r="J245" s="345"/>
      <c r="L245" s="635"/>
      <c r="M245" s="698"/>
      <c r="N245" s="726"/>
      <c r="O245" s="669"/>
      <c r="P245" s="669"/>
      <c r="Q245" s="669"/>
      <c r="R245" s="669"/>
      <c r="S245" s="669"/>
    </row>
    <row r="246" spans="1:19" s="12" customFormat="1" x14ac:dyDescent="0.2">
      <c r="A246" s="15"/>
      <c r="D246" s="14"/>
      <c r="E246" s="14"/>
      <c r="F246" s="14"/>
      <c r="G246" s="14"/>
      <c r="H246" s="293"/>
      <c r="I246" s="296"/>
      <c r="J246" s="329"/>
      <c r="K246" s="614"/>
      <c r="L246" s="9"/>
      <c r="M246" s="677"/>
      <c r="N246" s="708"/>
      <c r="O246" s="647"/>
      <c r="P246" s="647"/>
      <c r="Q246" s="647"/>
      <c r="R246" s="647"/>
      <c r="S246" s="647"/>
    </row>
    <row r="247" spans="1:19" s="12" customFormat="1" x14ac:dyDescent="0.2">
      <c r="A247" s="27"/>
      <c r="D247" s="28"/>
      <c r="E247" s="28"/>
      <c r="F247" s="28"/>
      <c r="G247" s="28"/>
      <c r="H247" s="28"/>
      <c r="I247" s="28"/>
      <c r="J247" s="346"/>
      <c r="K247" s="28"/>
      <c r="L247" s="636"/>
      <c r="M247" s="701"/>
      <c r="N247" s="727"/>
      <c r="O247" s="670"/>
      <c r="P247" s="670"/>
      <c r="Q247" s="670"/>
      <c r="R247" s="670"/>
      <c r="S247" s="670"/>
    </row>
    <row r="248" spans="1:19" s="12" customFormat="1" x14ac:dyDescent="0.2">
      <c r="A248" s="23"/>
      <c r="D248" s="30"/>
      <c r="E248" s="28"/>
      <c r="F248" s="28"/>
      <c r="G248" s="28"/>
      <c r="H248" s="28"/>
      <c r="I248" s="28"/>
      <c r="J248" s="346"/>
      <c r="K248" s="28"/>
      <c r="L248" s="636"/>
      <c r="M248" s="701"/>
      <c r="N248" s="727"/>
      <c r="O248" s="670"/>
      <c r="P248" s="670"/>
      <c r="Q248" s="670"/>
      <c r="R248" s="670"/>
      <c r="S248" s="670"/>
    </row>
    <row r="249" spans="1:19" s="12" customFormat="1" x14ac:dyDescent="0.2">
      <c r="A249" s="23"/>
      <c r="D249" s="30"/>
      <c r="E249" s="28"/>
      <c r="F249" s="28"/>
      <c r="G249" s="28"/>
      <c r="H249" s="28"/>
      <c r="I249" s="28"/>
      <c r="J249" s="346"/>
      <c r="K249" s="28"/>
      <c r="L249" s="636"/>
      <c r="M249" s="701"/>
      <c r="N249" s="727"/>
      <c r="O249" s="670"/>
      <c r="P249" s="670"/>
      <c r="Q249" s="670"/>
      <c r="R249" s="670"/>
      <c r="S249" s="670"/>
    </row>
    <row r="250" spans="1:19" s="12" customFormat="1" x14ac:dyDescent="0.2">
      <c r="A250" s="27"/>
      <c r="D250" s="28"/>
      <c r="E250" s="28"/>
      <c r="F250" s="28"/>
      <c r="G250" s="28"/>
      <c r="H250" s="28"/>
      <c r="I250" s="28"/>
      <c r="J250" s="346"/>
      <c r="K250" s="28"/>
      <c r="L250" s="636"/>
      <c r="M250" s="701"/>
      <c r="N250" s="727"/>
      <c r="O250" s="670"/>
      <c r="P250" s="670"/>
      <c r="Q250" s="670"/>
      <c r="R250" s="670"/>
      <c r="S250" s="670"/>
    </row>
    <row r="251" spans="1:19" s="12" customFormat="1" x14ac:dyDescent="0.2">
      <c r="A251" s="27"/>
      <c r="D251" s="28"/>
      <c r="E251" s="28"/>
      <c r="F251" s="28"/>
      <c r="G251" s="28"/>
      <c r="H251" s="28"/>
      <c r="I251" s="28"/>
      <c r="J251" s="346"/>
      <c r="K251" s="28"/>
      <c r="L251" s="636"/>
      <c r="M251" s="701"/>
      <c r="N251" s="727"/>
      <c r="O251" s="670"/>
      <c r="P251" s="670"/>
      <c r="Q251" s="670"/>
      <c r="R251" s="670"/>
      <c r="S251" s="670"/>
    </row>
    <row r="252" spans="1:19" s="12" customFormat="1" x14ac:dyDescent="0.2">
      <c r="A252" s="27"/>
      <c r="D252" s="28"/>
      <c r="E252" s="28"/>
      <c r="F252" s="28"/>
      <c r="G252" s="28"/>
      <c r="H252" s="28"/>
      <c r="I252" s="28"/>
      <c r="J252" s="346"/>
      <c r="K252" s="28"/>
      <c r="L252" s="636"/>
      <c r="M252" s="701"/>
      <c r="N252" s="727"/>
      <c r="O252" s="670"/>
      <c r="P252" s="670"/>
      <c r="Q252" s="670"/>
      <c r="R252" s="670"/>
      <c r="S252" s="670"/>
    </row>
    <row r="253" spans="1:19" s="12" customFormat="1" x14ac:dyDescent="0.2">
      <c r="A253" s="27"/>
      <c r="D253" s="28"/>
      <c r="E253" s="28"/>
      <c r="F253" s="58"/>
      <c r="G253" s="55"/>
      <c r="H253" s="55"/>
      <c r="I253" s="58"/>
      <c r="J253" s="347"/>
      <c r="K253" s="22"/>
      <c r="L253" s="637"/>
      <c r="M253" s="702"/>
      <c r="N253" s="728"/>
      <c r="O253" s="671"/>
      <c r="P253" s="671"/>
      <c r="Q253" s="671"/>
      <c r="R253" s="671"/>
      <c r="S253" s="671"/>
    </row>
    <row r="254" spans="1:19" s="12" customFormat="1" x14ac:dyDescent="0.2">
      <c r="A254" s="27"/>
      <c r="D254" s="28"/>
      <c r="E254" s="28"/>
      <c r="F254" s="58"/>
      <c r="G254" s="55"/>
      <c r="H254" s="55"/>
      <c r="I254" s="58"/>
      <c r="J254" s="347"/>
      <c r="K254" s="22"/>
      <c r="L254" s="637"/>
      <c r="M254" s="702"/>
      <c r="N254" s="728"/>
      <c r="O254" s="671"/>
      <c r="P254" s="671"/>
      <c r="Q254" s="671"/>
      <c r="R254" s="671"/>
      <c r="S254" s="671"/>
    </row>
    <row r="255" spans="1:19" s="12" customFormat="1" x14ac:dyDescent="0.2">
      <c r="A255" s="27"/>
      <c r="D255" s="28"/>
      <c r="E255" s="65"/>
      <c r="F255" s="65"/>
      <c r="G255" s="468"/>
      <c r="H255" s="293"/>
      <c r="I255" s="296"/>
      <c r="J255" s="329"/>
      <c r="K255" s="614"/>
      <c r="L255" s="9"/>
      <c r="M255" s="677"/>
      <c r="N255" s="708"/>
      <c r="O255" s="647"/>
      <c r="P255" s="647"/>
      <c r="Q255" s="647"/>
      <c r="R255" s="647"/>
      <c r="S255" s="647"/>
    </row>
    <row r="256" spans="1:19" s="12" customFormat="1" x14ac:dyDescent="0.2">
      <c r="A256" s="27"/>
      <c r="D256" s="28"/>
      <c r="E256" s="65"/>
      <c r="F256" s="65"/>
      <c r="G256" s="468"/>
      <c r="H256" s="293"/>
      <c r="I256" s="296"/>
      <c r="J256" s="329"/>
      <c r="K256" s="614"/>
      <c r="L256" s="9"/>
      <c r="M256" s="677"/>
      <c r="N256" s="708"/>
      <c r="O256" s="647"/>
      <c r="P256" s="647"/>
      <c r="Q256" s="647"/>
      <c r="R256" s="647"/>
      <c r="S256" s="647"/>
    </row>
    <row r="257" spans="1:19" s="12" customFormat="1" x14ac:dyDescent="0.2">
      <c r="A257" s="27"/>
      <c r="D257" s="28"/>
      <c r="E257" s="65"/>
      <c r="F257" s="65"/>
      <c r="G257" s="468"/>
      <c r="H257" s="293"/>
      <c r="I257" s="296"/>
      <c r="J257" s="329"/>
      <c r="K257" s="614"/>
      <c r="L257" s="9"/>
      <c r="M257" s="677"/>
      <c r="N257" s="708"/>
      <c r="O257" s="647"/>
      <c r="P257" s="647"/>
      <c r="Q257" s="647"/>
      <c r="R257" s="647"/>
      <c r="S257" s="647"/>
    </row>
    <row r="258" spans="1:19" s="12" customFormat="1" x14ac:dyDescent="0.2">
      <c r="A258" s="27"/>
      <c r="D258" s="28"/>
      <c r="E258" s="65"/>
      <c r="F258" s="65"/>
      <c r="G258" s="468"/>
      <c r="H258" s="293"/>
      <c r="I258" s="296"/>
      <c r="J258" s="329"/>
      <c r="K258" s="614"/>
      <c r="L258" s="9"/>
      <c r="M258" s="677"/>
      <c r="N258" s="708"/>
      <c r="O258" s="647"/>
      <c r="P258" s="647"/>
      <c r="Q258" s="647"/>
      <c r="R258" s="647"/>
      <c r="S258" s="647"/>
    </row>
    <row r="259" spans="1:19" s="12" customFormat="1" x14ac:dyDescent="0.2">
      <c r="A259" s="27"/>
      <c r="D259" s="28"/>
      <c r="E259" s="28"/>
      <c r="F259" s="58"/>
      <c r="G259" s="55"/>
      <c r="H259" s="55"/>
      <c r="I259" s="58"/>
      <c r="J259" s="347"/>
      <c r="K259" s="22"/>
      <c r="L259" s="637"/>
      <c r="M259" s="702"/>
      <c r="N259" s="728"/>
      <c r="O259" s="671"/>
      <c r="P259" s="671"/>
      <c r="Q259" s="671"/>
      <c r="R259" s="671"/>
      <c r="S259" s="671"/>
    </row>
    <row r="260" spans="1:19" s="12" customFormat="1" x14ac:dyDescent="0.2">
      <c r="A260" s="27"/>
      <c r="D260" s="28"/>
      <c r="E260" s="28"/>
      <c r="F260" s="58"/>
      <c r="G260" s="55"/>
      <c r="H260" s="55"/>
      <c r="I260" s="58"/>
      <c r="J260" s="347"/>
      <c r="K260" s="22"/>
      <c r="L260" s="637"/>
      <c r="M260" s="702"/>
      <c r="N260" s="728"/>
      <c r="O260" s="671"/>
      <c r="P260" s="671"/>
      <c r="Q260" s="671"/>
      <c r="R260" s="671"/>
      <c r="S260" s="671"/>
    </row>
    <row r="261" spans="1:19" s="12" customFormat="1" x14ac:dyDescent="0.2">
      <c r="A261" s="27"/>
      <c r="D261" s="28"/>
      <c r="E261" s="28"/>
      <c r="F261" s="58"/>
      <c r="G261" s="55"/>
      <c r="H261" s="55"/>
      <c r="I261" s="58"/>
      <c r="J261" s="347"/>
      <c r="K261" s="22"/>
      <c r="L261" s="637"/>
      <c r="M261" s="702"/>
      <c r="N261" s="728"/>
      <c r="O261" s="671"/>
      <c r="P261" s="671"/>
      <c r="Q261" s="671"/>
      <c r="R261" s="671"/>
      <c r="S261" s="671"/>
    </row>
    <row r="262" spans="1:19" s="12" customFormat="1" x14ac:dyDescent="0.2">
      <c r="A262" s="27"/>
      <c r="D262" s="28"/>
      <c r="E262" s="28"/>
      <c r="F262" s="58"/>
      <c r="G262" s="28"/>
      <c r="H262" s="28"/>
      <c r="I262" s="58"/>
      <c r="J262" s="347"/>
      <c r="K262" s="22"/>
      <c r="L262" s="637"/>
      <c r="M262" s="702"/>
      <c r="N262" s="728"/>
      <c r="O262" s="671"/>
      <c r="P262" s="671"/>
      <c r="Q262" s="671"/>
      <c r="R262" s="671"/>
      <c r="S262" s="671"/>
    </row>
    <row r="263" spans="1:19" s="12" customFormat="1" x14ac:dyDescent="0.2">
      <c r="A263" s="14"/>
      <c r="D263" s="14"/>
      <c r="E263" s="14"/>
      <c r="F263" s="55"/>
      <c r="G263" s="55"/>
      <c r="H263" s="28"/>
      <c r="I263" s="296"/>
      <c r="J263" s="329"/>
      <c r="K263" s="614"/>
      <c r="L263" s="9"/>
      <c r="M263" s="677"/>
      <c r="N263" s="708"/>
      <c r="O263" s="647"/>
      <c r="P263" s="647"/>
      <c r="Q263" s="647"/>
      <c r="R263" s="647"/>
      <c r="S263" s="647"/>
    </row>
    <row r="264" spans="1:19" s="12" customFormat="1" x14ac:dyDescent="0.2">
      <c r="A264" s="27"/>
      <c r="D264" s="14"/>
      <c r="E264" s="14"/>
      <c r="F264" s="57"/>
      <c r="G264" s="479"/>
      <c r="H264" s="14"/>
      <c r="I264" s="296"/>
      <c r="J264" s="329"/>
      <c r="K264" s="614"/>
      <c r="L264" s="9"/>
      <c r="M264" s="677"/>
      <c r="N264" s="708"/>
      <c r="O264" s="647"/>
      <c r="P264" s="647"/>
      <c r="Q264" s="647"/>
      <c r="R264" s="647"/>
      <c r="S264" s="647"/>
    </row>
    <row r="265" spans="1:19" s="12" customFormat="1" x14ac:dyDescent="0.2">
      <c r="J265" s="345"/>
      <c r="L265" s="635"/>
      <c r="M265" s="698"/>
      <c r="N265" s="726"/>
      <c r="O265" s="669"/>
      <c r="P265" s="669"/>
      <c r="Q265" s="669"/>
      <c r="R265" s="669"/>
      <c r="S265" s="669"/>
    </row>
    <row r="266" spans="1:19" s="12" customFormat="1" x14ac:dyDescent="0.2">
      <c r="J266" s="345"/>
      <c r="L266" s="635"/>
      <c r="M266" s="698"/>
      <c r="N266" s="726"/>
      <c r="O266" s="669"/>
      <c r="P266" s="669"/>
      <c r="Q266" s="669"/>
      <c r="R266" s="669"/>
      <c r="S266" s="669"/>
    </row>
    <row r="267" spans="1:19" s="12" customFormat="1" x14ac:dyDescent="0.2">
      <c r="J267" s="345"/>
      <c r="L267" s="635"/>
      <c r="M267" s="698"/>
      <c r="N267" s="726"/>
      <c r="O267" s="669"/>
      <c r="P267" s="669"/>
      <c r="Q267" s="669"/>
      <c r="R267" s="669"/>
      <c r="S267" s="669"/>
    </row>
    <row r="268" spans="1:19" s="12" customFormat="1" x14ac:dyDescent="0.2">
      <c r="J268" s="345"/>
      <c r="L268" s="635"/>
      <c r="M268" s="698"/>
      <c r="N268" s="726"/>
      <c r="O268" s="669"/>
      <c r="P268" s="669"/>
      <c r="Q268" s="669"/>
      <c r="R268" s="669"/>
      <c r="S268" s="669"/>
    </row>
    <row r="269" spans="1:19" s="12" customFormat="1" x14ac:dyDescent="0.2">
      <c r="A269" s="31"/>
      <c r="B269" s="11"/>
      <c r="C269" s="11"/>
      <c r="D269" s="11"/>
      <c r="E269" s="11"/>
      <c r="F269" s="11"/>
      <c r="G269" s="11"/>
      <c r="H269" s="11"/>
      <c r="I269" s="11"/>
      <c r="J269" s="345"/>
      <c r="L269" s="635"/>
      <c r="M269" s="698"/>
      <c r="N269" s="726"/>
      <c r="O269" s="669"/>
      <c r="P269" s="669"/>
      <c r="Q269" s="669"/>
      <c r="R269" s="669"/>
      <c r="S269" s="669"/>
    </row>
    <row r="270" spans="1:19" s="12" customFormat="1" x14ac:dyDescent="0.2">
      <c r="A270" s="31"/>
      <c r="B270" s="11"/>
      <c r="C270" s="11"/>
      <c r="D270" s="11"/>
      <c r="E270" s="11"/>
      <c r="F270" s="11"/>
      <c r="G270" s="11"/>
      <c r="H270" s="11"/>
      <c r="I270" s="11"/>
      <c r="J270" s="345"/>
      <c r="L270" s="635"/>
      <c r="M270" s="698"/>
      <c r="N270" s="726"/>
      <c r="O270" s="669"/>
      <c r="P270" s="669"/>
      <c r="Q270" s="669"/>
      <c r="R270" s="669"/>
      <c r="S270" s="669"/>
    </row>
    <row r="271" spans="1:19" s="12" customFormat="1" x14ac:dyDescent="0.2">
      <c r="A271" s="11"/>
      <c r="B271" s="11"/>
      <c r="C271" s="11"/>
      <c r="D271" s="11"/>
      <c r="E271" s="59"/>
      <c r="F271" s="11"/>
      <c r="G271" s="11"/>
      <c r="H271" s="11"/>
      <c r="I271" s="11"/>
      <c r="J271" s="345"/>
      <c r="L271" s="635"/>
      <c r="M271" s="698"/>
      <c r="N271" s="726"/>
      <c r="O271" s="669"/>
      <c r="P271" s="669"/>
      <c r="Q271" s="669"/>
      <c r="R271" s="669"/>
      <c r="S271" s="669"/>
    </row>
    <row r="272" spans="1:19" s="12" customFormat="1" x14ac:dyDescent="0.2">
      <c r="A272" s="11"/>
      <c r="B272" s="11"/>
      <c r="C272" s="11"/>
      <c r="D272" s="11"/>
      <c r="E272" s="11"/>
      <c r="F272" s="11"/>
      <c r="G272" s="11"/>
      <c r="H272" s="11"/>
      <c r="I272" s="11"/>
      <c r="J272" s="345"/>
      <c r="L272" s="635"/>
      <c r="M272" s="698"/>
      <c r="N272" s="726"/>
      <c r="O272" s="669"/>
      <c r="P272" s="669"/>
      <c r="Q272" s="669"/>
      <c r="R272" s="669"/>
      <c r="S272" s="669"/>
    </row>
    <row r="273" spans="1:19" s="12" customFormat="1" x14ac:dyDescent="0.2">
      <c r="A273" s="31"/>
      <c r="B273" s="11"/>
      <c r="C273" s="11"/>
      <c r="D273" s="11"/>
      <c r="E273" s="11"/>
      <c r="F273" s="11"/>
      <c r="G273" s="11"/>
      <c r="H273" s="11"/>
      <c r="I273" s="11"/>
      <c r="J273" s="345"/>
      <c r="L273" s="635"/>
      <c r="M273" s="698"/>
      <c r="N273" s="726"/>
      <c r="O273" s="669"/>
      <c r="P273" s="669"/>
      <c r="Q273" s="669"/>
      <c r="R273" s="669"/>
      <c r="S273" s="669"/>
    </row>
    <row r="274" spans="1:19" s="12" customFormat="1" x14ac:dyDescent="0.2">
      <c r="A274" s="11"/>
      <c r="E274" s="11"/>
      <c r="F274" s="60"/>
      <c r="G274" s="60"/>
      <c r="H274" s="60"/>
      <c r="I274" s="60"/>
      <c r="J274" s="348"/>
      <c r="K274" s="32"/>
      <c r="L274" s="638"/>
      <c r="M274" s="703"/>
      <c r="N274" s="729"/>
      <c r="O274" s="672"/>
      <c r="P274" s="672"/>
      <c r="Q274" s="672"/>
      <c r="R274" s="672"/>
      <c r="S274" s="672"/>
    </row>
    <row r="275" spans="1:19" s="12" customFormat="1" x14ac:dyDescent="0.2">
      <c r="A275" s="11"/>
      <c r="E275" s="31"/>
      <c r="F275" s="31"/>
      <c r="G275" s="11"/>
      <c r="H275" s="11"/>
      <c r="I275" s="11"/>
      <c r="J275" s="349"/>
      <c r="K275" s="11"/>
      <c r="L275" s="639"/>
      <c r="M275" s="704"/>
      <c r="N275" s="673"/>
      <c r="O275" s="673"/>
      <c r="P275" s="673"/>
      <c r="Q275" s="673"/>
      <c r="R275" s="673"/>
      <c r="S275" s="673"/>
    </row>
    <row r="276" spans="1:19" s="12" customFormat="1" x14ac:dyDescent="0.2">
      <c r="A276" s="11"/>
      <c r="E276" s="61"/>
      <c r="F276" s="33"/>
      <c r="G276" s="33"/>
      <c r="H276" s="33"/>
      <c r="I276" s="33"/>
      <c r="J276" s="350"/>
      <c r="K276" s="33"/>
      <c r="L276" s="640"/>
      <c r="M276" s="705"/>
      <c r="N276" s="730"/>
      <c r="O276" s="674"/>
      <c r="P276" s="674"/>
      <c r="Q276" s="674"/>
      <c r="R276" s="674"/>
      <c r="S276" s="674"/>
    </row>
    <row r="277" spans="1:19" s="12" customFormat="1" x14ac:dyDescent="0.2">
      <c r="A277" s="11"/>
      <c r="E277" s="61"/>
      <c r="F277" s="33"/>
      <c r="G277" s="33"/>
      <c r="H277" s="33"/>
      <c r="I277" s="33"/>
      <c r="J277" s="350"/>
      <c r="K277" s="33"/>
      <c r="L277" s="640"/>
      <c r="M277" s="705"/>
      <c r="N277" s="730"/>
      <c r="O277" s="674"/>
      <c r="P277" s="674"/>
      <c r="Q277" s="674"/>
      <c r="R277" s="674"/>
      <c r="S277" s="674"/>
    </row>
    <row r="278" spans="1:19" s="12" customFormat="1" x14ac:dyDescent="0.2">
      <c r="J278" s="345"/>
      <c r="L278" s="635"/>
      <c r="M278" s="698"/>
      <c r="N278" s="726"/>
      <c r="O278" s="669"/>
      <c r="P278" s="669"/>
      <c r="Q278" s="669"/>
      <c r="R278" s="669"/>
      <c r="S278" s="669"/>
    </row>
    <row r="279" spans="1:19" s="12" customFormat="1" x14ac:dyDescent="0.2">
      <c r="J279" s="345"/>
      <c r="L279" s="635"/>
      <c r="M279" s="698"/>
      <c r="N279" s="726"/>
      <c r="O279" s="669"/>
      <c r="P279" s="669"/>
      <c r="Q279" s="669"/>
      <c r="R279" s="669"/>
      <c r="S279" s="669"/>
    </row>
  </sheetData>
  <mergeCells count="1">
    <mergeCell ref="A188:E18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  <rowBreaks count="1" manualBreakCount="1">
    <brk id="68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2"/>
  <sheetViews>
    <sheetView zoomScale="85" zoomScaleNormal="85" workbookViewId="0"/>
  </sheetViews>
  <sheetFormatPr defaultColWidth="9.140625" defaultRowHeight="12.75" x14ac:dyDescent="0.2"/>
  <cols>
    <col min="1" max="1" width="45.7109375" style="2" customWidth="1"/>
    <col min="2" max="2" width="2.7109375" style="2" customWidth="1"/>
    <col min="3" max="4" width="14.7109375" style="2" customWidth="1"/>
    <col min="5" max="5" width="2.5703125" style="2" customWidth="1"/>
    <col min="6" max="12" width="14.7109375" style="2" customWidth="1"/>
    <col min="13" max="13" width="2.5703125" style="2" customWidth="1"/>
    <col min="14" max="16" width="14.7109375" style="2" customWidth="1"/>
    <col min="17" max="17" width="12.7109375" style="2" customWidth="1"/>
    <col min="18" max="41" width="10.85546875" style="2" customWidth="1"/>
    <col min="42" max="16384" width="9.140625" style="2"/>
  </cols>
  <sheetData>
    <row r="1" spans="1:15" x14ac:dyDescent="0.2">
      <c r="A1" s="2" t="s">
        <v>321</v>
      </c>
      <c r="C1" s="588">
        <v>2.2100000000000002E-2</v>
      </c>
      <c r="F1" s="2" t="s">
        <v>317</v>
      </c>
      <c r="G1" s="643"/>
    </row>
    <row r="2" spans="1:15" x14ac:dyDescent="0.2">
      <c r="A2" s="4" t="s">
        <v>7</v>
      </c>
      <c r="B2" s="733"/>
      <c r="C2" s="739">
        <v>2018</v>
      </c>
      <c r="D2" s="740"/>
      <c r="F2" s="733" t="s">
        <v>76</v>
      </c>
      <c r="G2" s="733" t="s">
        <v>59</v>
      </c>
      <c r="H2" s="733" t="s">
        <v>76</v>
      </c>
      <c r="I2" s="733" t="s">
        <v>36</v>
      </c>
      <c r="J2" s="733" t="s">
        <v>77</v>
      </c>
      <c r="K2" s="22" t="s">
        <v>78</v>
      </c>
      <c r="L2" s="733" t="s">
        <v>136</v>
      </c>
    </row>
    <row r="3" spans="1:15" x14ac:dyDescent="0.2">
      <c r="A3" s="733" t="s">
        <v>8</v>
      </c>
      <c r="B3" s="733"/>
      <c r="C3" s="16"/>
      <c r="F3" s="733" t="s">
        <v>58</v>
      </c>
      <c r="G3" s="733" t="s">
        <v>60</v>
      </c>
      <c r="H3" s="733"/>
      <c r="I3" s="733"/>
      <c r="J3" s="733"/>
      <c r="K3" s="733"/>
      <c r="L3" s="22" t="s">
        <v>79</v>
      </c>
      <c r="N3" s="20" t="s">
        <v>75</v>
      </c>
      <c r="O3" s="733"/>
    </row>
    <row r="4" spans="1:15" x14ac:dyDescent="0.2">
      <c r="A4" s="733" t="s">
        <v>9</v>
      </c>
      <c r="B4" s="733"/>
      <c r="C4" s="592">
        <v>1426.1974560000001</v>
      </c>
      <c r="D4" s="592">
        <v>31.19</v>
      </c>
      <c r="F4" s="9">
        <v>0</v>
      </c>
      <c r="G4" s="9">
        <v>0</v>
      </c>
      <c r="H4" s="9">
        <v>0</v>
      </c>
      <c r="I4" s="566">
        <v>0</v>
      </c>
      <c r="J4" s="8"/>
      <c r="K4" s="8"/>
      <c r="L4" s="8"/>
      <c r="N4" s="21" t="s">
        <v>33</v>
      </c>
      <c r="O4" s="596">
        <v>0.05</v>
      </c>
    </row>
    <row r="5" spans="1:15" x14ac:dyDescent="0.2">
      <c r="A5" s="733" t="s">
        <v>10</v>
      </c>
      <c r="B5" s="733"/>
      <c r="C5" s="592">
        <v>48.048921</v>
      </c>
      <c r="D5" s="592">
        <v>0.47</v>
      </c>
      <c r="F5" s="279">
        <v>2</v>
      </c>
      <c r="G5" s="9">
        <v>375</v>
      </c>
      <c r="H5" s="279">
        <v>2</v>
      </c>
      <c r="I5" s="594">
        <v>25468</v>
      </c>
      <c r="J5" s="8"/>
      <c r="K5" s="8"/>
      <c r="L5" s="8"/>
      <c r="N5" s="733" t="s">
        <v>34</v>
      </c>
      <c r="O5" s="596">
        <v>3.4299999999999997E-2</v>
      </c>
    </row>
    <row r="6" spans="1:15" x14ac:dyDescent="0.2">
      <c r="A6" s="733" t="s">
        <v>11</v>
      </c>
      <c r="B6" s="733"/>
      <c r="C6" s="592">
        <v>0</v>
      </c>
      <c r="D6" s="592">
        <v>20</v>
      </c>
      <c r="F6" s="279">
        <v>3</v>
      </c>
      <c r="G6" s="9">
        <v>495</v>
      </c>
      <c r="H6" s="279">
        <v>3</v>
      </c>
      <c r="I6" s="594">
        <v>32971</v>
      </c>
      <c r="J6" s="34">
        <f>+I6-I5</f>
        <v>7503</v>
      </c>
      <c r="K6" s="8"/>
      <c r="L6" s="8"/>
      <c r="N6" s="733" t="s">
        <v>35</v>
      </c>
      <c r="O6" s="596">
        <v>1.7899999999999999E-2</v>
      </c>
    </row>
    <row r="7" spans="1:15" x14ac:dyDescent="0.2">
      <c r="A7" s="733" t="s">
        <v>12</v>
      </c>
      <c r="B7" s="4"/>
      <c r="C7" s="589"/>
      <c r="D7" s="589"/>
      <c r="F7" s="279">
        <v>4</v>
      </c>
      <c r="G7" s="9">
        <v>650</v>
      </c>
      <c r="H7" s="279">
        <v>4</v>
      </c>
      <c r="I7" s="594">
        <v>42661</v>
      </c>
      <c r="J7" s="34">
        <f>+I7-I6</f>
        <v>9690</v>
      </c>
      <c r="K7" s="8"/>
      <c r="L7" s="8"/>
      <c r="N7" s="733" t="s">
        <v>61</v>
      </c>
      <c r="O7" s="596">
        <v>1.5642</v>
      </c>
    </row>
    <row r="8" spans="1:15" x14ac:dyDescent="0.2">
      <c r="A8" s="733" t="s">
        <v>13</v>
      </c>
      <c r="B8" s="733"/>
      <c r="C8" s="592">
        <v>92.28</v>
      </c>
      <c r="D8" s="592">
        <v>1.61</v>
      </c>
      <c r="F8" s="279">
        <v>5</v>
      </c>
      <c r="G8" s="9">
        <v>785</v>
      </c>
      <c r="H8" s="279">
        <v>5</v>
      </c>
      <c r="I8" s="594">
        <v>51102</v>
      </c>
      <c r="J8" s="34">
        <f>+I8-I7</f>
        <v>8441</v>
      </c>
      <c r="K8" s="8"/>
      <c r="L8" s="8"/>
      <c r="N8" s="733" t="s">
        <v>62</v>
      </c>
      <c r="O8" s="596">
        <v>1.15E-2</v>
      </c>
    </row>
    <row r="9" spans="1:15" x14ac:dyDescent="0.2">
      <c r="A9" s="733" t="s">
        <v>14</v>
      </c>
      <c r="B9" s="733"/>
      <c r="C9" s="592">
        <v>32.369999999999997</v>
      </c>
      <c r="D9" s="592">
        <v>6.72</v>
      </c>
      <c r="F9" s="279">
        <v>6</v>
      </c>
      <c r="G9" s="9">
        <v>875</v>
      </c>
      <c r="H9" s="279">
        <v>6</v>
      </c>
      <c r="I9" s="594">
        <v>56728</v>
      </c>
      <c r="J9" s="34">
        <f>+I9-I8</f>
        <v>5626</v>
      </c>
      <c r="K9" s="8"/>
      <c r="L9" s="8"/>
    </row>
    <row r="10" spans="1:15" x14ac:dyDescent="0.2">
      <c r="A10" s="733" t="s">
        <v>24</v>
      </c>
      <c r="B10" s="733"/>
      <c r="C10" s="592">
        <v>42.22</v>
      </c>
      <c r="D10" s="592">
        <v>0.46</v>
      </c>
      <c r="F10" s="279">
        <v>7</v>
      </c>
      <c r="G10" s="9">
        <v>980</v>
      </c>
      <c r="H10" s="279">
        <v>7</v>
      </c>
      <c r="I10" s="278">
        <f>+I9+K10</f>
        <v>63293</v>
      </c>
      <c r="J10" s="34">
        <f>+I10-I9</f>
        <v>6565</v>
      </c>
      <c r="K10" s="592">
        <v>6565</v>
      </c>
      <c r="L10" s="8"/>
    </row>
    <row r="11" spans="1:15" x14ac:dyDescent="0.2">
      <c r="A11" s="733" t="s">
        <v>131</v>
      </c>
      <c r="B11" s="733"/>
      <c r="C11" s="592">
        <v>382.20407399999999</v>
      </c>
      <c r="D11" s="592">
        <v>2.0748629999999997</v>
      </c>
      <c r="F11" s="279">
        <v>8</v>
      </c>
      <c r="G11" s="9">
        <v>1085</v>
      </c>
      <c r="H11" s="279">
        <v>8</v>
      </c>
      <c r="I11" s="278">
        <f t="shared" ref="I11:I16" si="0">+I10+K11</f>
        <v>69858</v>
      </c>
      <c r="J11" s="34">
        <f t="shared" ref="J11:J16" si="1">+I11-I10</f>
        <v>6565</v>
      </c>
      <c r="K11" s="34">
        <f t="shared" ref="K11:K48" si="2">K10</f>
        <v>6565</v>
      </c>
      <c r="L11" s="8"/>
    </row>
    <row r="12" spans="1:15" x14ac:dyDescent="0.2">
      <c r="A12" s="733"/>
      <c r="B12" s="733"/>
      <c r="C12" s="17">
        <f>SUM(C4:C11)</f>
        <v>2023.320451</v>
      </c>
      <c r="D12" s="17">
        <f>SUM(D4:D11)</f>
        <v>62.524862999999996</v>
      </c>
      <c r="F12" s="279">
        <v>9</v>
      </c>
      <c r="G12" s="9">
        <v>1190</v>
      </c>
      <c r="H12" s="279">
        <v>9</v>
      </c>
      <c r="I12" s="278">
        <f t="shared" si="0"/>
        <v>76423</v>
      </c>
      <c r="J12" s="34">
        <f t="shared" si="1"/>
        <v>6565</v>
      </c>
      <c r="K12" s="34">
        <f t="shared" si="2"/>
        <v>6565</v>
      </c>
      <c r="L12" s="8"/>
    </row>
    <row r="13" spans="1:15" x14ac:dyDescent="0.2">
      <c r="A13" s="4" t="s">
        <v>15</v>
      </c>
      <c r="B13" s="733"/>
      <c r="C13" s="591"/>
      <c r="D13" s="591"/>
      <c r="F13" s="279">
        <v>10</v>
      </c>
      <c r="G13" s="9">
        <v>1295</v>
      </c>
      <c r="H13" s="279">
        <v>10</v>
      </c>
      <c r="I13" s="278">
        <f t="shared" si="0"/>
        <v>82988</v>
      </c>
      <c r="J13" s="34">
        <f t="shared" si="1"/>
        <v>6565</v>
      </c>
      <c r="K13" s="34">
        <f t="shared" si="2"/>
        <v>6565</v>
      </c>
      <c r="L13" s="8"/>
    </row>
    <row r="14" spans="1:15" x14ac:dyDescent="0.2">
      <c r="A14" s="733" t="s">
        <v>26</v>
      </c>
      <c r="B14" s="733"/>
      <c r="C14" s="591"/>
      <c r="D14" s="591"/>
      <c r="F14" s="279">
        <v>11</v>
      </c>
      <c r="G14" s="9">
        <v>1400</v>
      </c>
      <c r="H14" s="279">
        <v>11</v>
      </c>
      <c r="I14" s="278">
        <f t="shared" si="0"/>
        <v>89553</v>
      </c>
      <c r="J14" s="34">
        <f t="shared" si="1"/>
        <v>6565</v>
      </c>
      <c r="K14" s="34">
        <f t="shared" si="2"/>
        <v>6565</v>
      </c>
      <c r="L14" s="8"/>
    </row>
    <row r="15" spans="1:15" x14ac:dyDescent="0.2">
      <c r="A15" s="733" t="s">
        <v>16</v>
      </c>
      <c r="B15" s="733"/>
      <c r="C15" s="592">
        <f t="shared" ref="C15:D26" si="3">ROUND(C69*(1+$C$1),2)</f>
        <v>10.09</v>
      </c>
      <c r="D15" s="592">
        <f t="shared" si="3"/>
        <v>1.89</v>
      </c>
      <c r="F15" s="279">
        <v>12</v>
      </c>
      <c r="G15" s="9">
        <v>1505</v>
      </c>
      <c r="H15" s="279">
        <v>12</v>
      </c>
      <c r="I15" s="278">
        <f t="shared" si="0"/>
        <v>96118</v>
      </c>
      <c r="J15" s="34">
        <f t="shared" si="1"/>
        <v>6565</v>
      </c>
      <c r="K15" s="34">
        <f t="shared" si="2"/>
        <v>6565</v>
      </c>
      <c r="L15" s="8"/>
    </row>
    <row r="16" spans="1:15" x14ac:dyDescent="0.2">
      <c r="A16" s="733" t="s">
        <v>25</v>
      </c>
      <c r="B16" s="733"/>
      <c r="C16" s="592">
        <f t="shared" si="3"/>
        <v>10.09</v>
      </c>
      <c r="D16" s="592">
        <f t="shared" si="3"/>
        <v>1.05</v>
      </c>
      <c r="F16" s="279">
        <v>13</v>
      </c>
      <c r="G16" s="9">
        <v>1610</v>
      </c>
      <c r="H16" s="279">
        <v>13</v>
      </c>
      <c r="I16" s="278">
        <f t="shared" si="0"/>
        <v>102683</v>
      </c>
      <c r="J16" s="34">
        <f t="shared" si="1"/>
        <v>6565</v>
      </c>
      <c r="K16" s="34">
        <f t="shared" si="2"/>
        <v>6565</v>
      </c>
      <c r="L16" s="8"/>
    </row>
    <row r="17" spans="1:12" x14ac:dyDescent="0.2">
      <c r="A17" s="733" t="s">
        <v>17</v>
      </c>
      <c r="B17" s="733"/>
      <c r="C17" s="592">
        <f t="shared" si="3"/>
        <v>28.11</v>
      </c>
      <c r="D17" s="592">
        <f t="shared" si="3"/>
        <v>0.14000000000000001</v>
      </c>
      <c r="F17" s="279">
        <v>14</v>
      </c>
      <c r="G17" s="9">
        <v>1755</v>
      </c>
      <c r="H17" s="279">
        <v>14</v>
      </c>
      <c r="I17" s="278">
        <f>+I16+K17+L17</f>
        <v>111749</v>
      </c>
      <c r="J17" s="34">
        <f>+I17-I16</f>
        <v>9066</v>
      </c>
      <c r="K17" s="34">
        <f t="shared" si="2"/>
        <v>6565</v>
      </c>
      <c r="L17" s="592">
        <v>2501</v>
      </c>
    </row>
    <row r="18" spans="1:12" x14ac:dyDescent="0.2">
      <c r="A18" s="733" t="s">
        <v>18</v>
      </c>
      <c r="B18" s="733"/>
      <c r="C18" s="592">
        <f t="shared" si="3"/>
        <v>103.75</v>
      </c>
      <c r="D18" s="592">
        <f t="shared" si="3"/>
        <v>4.33</v>
      </c>
      <c r="F18" s="279">
        <v>15</v>
      </c>
      <c r="G18" s="9">
        <v>1860</v>
      </c>
      <c r="H18" s="279">
        <v>15</v>
      </c>
      <c r="I18" s="278">
        <f t="shared" ref="I18:I39" si="4">+I17+K18</f>
        <v>118314</v>
      </c>
      <c r="J18" s="34">
        <f t="shared" ref="J18:J48" si="5">+I18-I17</f>
        <v>6565</v>
      </c>
      <c r="K18" s="34">
        <f t="shared" si="2"/>
        <v>6565</v>
      </c>
      <c r="L18" s="8"/>
    </row>
    <row r="19" spans="1:12" x14ac:dyDescent="0.2">
      <c r="A19" s="733" t="s">
        <v>85</v>
      </c>
      <c r="B19" s="733"/>
      <c r="C19" s="592">
        <f t="shared" si="3"/>
        <v>302.74</v>
      </c>
      <c r="D19" s="592">
        <f t="shared" si="3"/>
        <v>20.100000000000001</v>
      </c>
      <c r="F19" s="279">
        <v>16</v>
      </c>
      <c r="G19" s="9">
        <v>1965</v>
      </c>
      <c r="H19" s="279">
        <v>16</v>
      </c>
      <c r="I19" s="278">
        <f t="shared" si="4"/>
        <v>124879</v>
      </c>
      <c r="J19" s="34">
        <f t="shared" si="5"/>
        <v>6565</v>
      </c>
      <c r="K19" s="34">
        <f t="shared" si="2"/>
        <v>6565</v>
      </c>
      <c r="L19" s="8"/>
    </row>
    <row r="20" spans="1:12" x14ac:dyDescent="0.2">
      <c r="A20" s="733" t="s">
        <v>86</v>
      </c>
      <c r="B20" s="733"/>
      <c r="C20" s="592">
        <f t="shared" si="3"/>
        <v>0</v>
      </c>
      <c r="D20" s="592">
        <f t="shared" si="3"/>
        <v>25.61</v>
      </c>
      <c r="F20" s="279">
        <v>17</v>
      </c>
      <c r="G20" s="9">
        <v>2070</v>
      </c>
      <c r="H20" s="279">
        <v>17</v>
      </c>
      <c r="I20" s="278">
        <f t="shared" si="4"/>
        <v>131444</v>
      </c>
      <c r="J20" s="34">
        <f t="shared" si="5"/>
        <v>6565</v>
      </c>
      <c r="K20" s="34">
        <f t="shared" si="2"/>
        <v>6565</v>
      </c>
      <c r="L20" s="8"/>
    </row>
    <row r="21" spans="1:12" x14ac:dyDescent="0.2">
      <c r="A21" s="733" t="s">
        <v>132</v>
      </c>
      <c r="B21" s="733"/>
      <c r="C21" s="592">
        <f t="shared" si="3"/>
        <v>522.48</v>
      </c>
      <c r="D21" s="592">
        <f t="shared" si="3"/>
        <v>8</v>
      </c>
      <c r="F21" s="279">
        <v>18</v>
      </c>
      <c r="G21" s="9">
        <v>2175</v>
      </c>
      <c r="H21" s="279">
        <v>18</v>
      </c>
      <c r="I21" s="278">
        <f t="shared" si="4"/>
        <v>138009</v>
      </c>
      <c r="J21" s="34">
        <f t="shared" si="5"/>
        <v>6565</v>
      </c>
      <c r="K21" s="34">
        <f t="shared" si="2"/>
        <v>6565</v>
      </c>
      <c r="L21" s="8"/>
    </row>
    <row r="22" spans="1:12" x14ac:dyDescent="0.2">
      <c r="A22" s="733" t="s">
        <v>19</v>
      </c>
      <c r="B22" s="733"/>
      <c r="C22" s="592">
        <f t="shared" si="3"/>
        <v>121.2</v>
      </c>
      <c r="D22" s="592">
        <f t="shared" si="3"/>
        <v>0.22</v>
      </c>
      <c r="F22" s="279">
        <v>19</v>
      </c>
      <c r="G22" s="9">
        <v>2280</v>
      </c>
      <c r="H22" s="279">
        <v>19</v>
      </c>
      <c r="I22" s="278">
        <f t="shared" si="4"/>
        <v>144574</v>
      </c>
      <c r="J22" s="34">
        <f t="shared" si="5"/>
        <v>6565</v>
      </c>
      <c r="K22" s="34">
        <f t="shared" si="2"/>
        <v>6565</v>
      </c>
      <c r="L22" s="8"/>
    </row>
    <row r="23" spans="1:12" x14ac:dyDescent="0.2">
      <c r="A23" s="733" t="s">
        <v>80</v>
      </c>
      <c r="B23" s="733"/>
      <c r="C23" s="592">
        <f t="shared" si="3"/>
        <v>1833.73</v>
      </c>
      <c r="D23" s="592">
        <f t="shared" si="3"/>
        <v>46.81</v>
      </c>
      <c r="F23" s="279">
        <v>20</v>
      </c>
      <c r="G23" s="9">
        <v>2385</v>
      </c>
      <c r="H23" s="279">
        <v>20</v>
      </c>
      <c r="I23" s="278">
        <f t="shared" si="4"/>
        <v>151139</v>
      </c>
      <c r="J23" s="34">
        <f t="shared" si="5"/>
        <v>6565</v>
      </c>
      <c r="K23" s="34">
        <f t="shared" si="2"/>
        <v>6565</v>
      </c>
      <c r="L23" s="8"/>
    </row>
    <row r="24" spans="1:12" x14ac:dyDescent="0.2">
      <c r="A24" s="733" t="s">
        <v>82</v>
      </c>
      <c r="B24" s="733"/>
      <c r="C24" s="592">
        <f t="shared" si="3"/>
        <v>1909.8</v>
      </c>
      <c r="D24" s="592">
        <f t="shared" si="3"/>
        <v>62.34</v>
      </c>
      <c r="F24" s="279">
        <v>21</v>
      </c>
      <c r="G24" s="9">
        <v>2490</v>
      </c>
      <c r="H24" s="279">
        <v>21</v>
      </c>
      <c r="I24" s="278">
        <f t="shared" si="4"/>
        <v>157704</v>
      </c>
      <c r="J24" s="34">
        <f t="shared" si="5"/>
        <v>6565</v>
      </c>
      <c r="K24" s="34">
        <f t="shared" si="2"/>
        <v>6565</v>
      </c>
      <c r="L24" s="8"/>
    </row>
    <row r="25" spans="1:12" x14ac:dyDescent="0.2">
      <c r="A25" s="733" t="s">
        <v>81</v>
      </c>
      <c r="B25" s="733"/>
      <c r="C25" s="592">
        <f t="shared" si="3"/>
        <v>1861.76</v>
      </c>
      <c r="D25" s="592">
        <f t="shared" si="3"/>
        <v>94.05</v>
      </c>
      <c r="F25" s="279">
        <v>22</v>
      </c>
      <c r="G25" s="9">
        <v>2595</v>
      </c>
      <c r="H25" s="279">
        <v>22</v>
      </c>
      <c r="I25" s="278">
        <f t="shared" si="4"/>
        <v>164269</v>
      </c>
      <c r="J25" s="34">
        <f t="shared" si="5"/>
        <v>6565</v>
      </c>
      <c r="K25" s="34">
        <f t="shared" si="2"/>
        <v>6565</v>
      </c>
      <c r="L25" s="8"/>
    </row>
    <row r="26" spans="1:12" x14ac:dyDescent="0.2">
      <c r="A26" s="733" t="s">
        <v>20</v>
      </c>
      <c r="B26" s="733"/>
      <c r="C26" s="592">
        <f t="shared" si="3"/>
        <v>919.19</v>
      </c>
      <c r="D26" s="592">
        <f t="shared" si="3"/>
        <v>16</v>
      </c>
      <c r="F26" s="279">
        <v>23</v>
      </c>
      <c r="G26" s="9">
        <v>2700</v>
      </c>
      <c r="H26" s="279">
        <v>23</v>
      </c>
      <c r="I26" s="278">
        <f t="shared" si="4"/>
        <v>170834</v>
      </c>
      <c r="J26" s="34">
        <f t="shared" si="5"/>
        <v>6565</v>
      </c>
      <c r="K26" s="34">
        <f t="shared" si="2"/>
        <v>6565</v>
      </c>
      <c r="L26" s="8"/>
    </row>
    <row r="27" spans="1:12" x14ac:dyDescent="0.2">
      <c r="A27" s="733"/>
      <c r="B27" s="4"/>
      <c r="C27" s="17">
        <f>SUM(C15:C26)</f>
        <v>7622.9400000000005</v>
      </c>
      <c r="D27" s="17">
        <f>SUM(D15:D26)</f>
        <v>280.54000000000002</v>
      </c>
      <c r="F27" s="279">
        <v>24</v>
      </c>
      <c r="G27" s="9">
        <v>2805</v>
      </c>
      <c r="H27" s="279">
        <v>24</v>
      </c>
      <c r="I27" s="278">
        <f t="shared" si="4"/>
        <v>177399</v>
      </c>
      <c r="J27" s="34">
        <f t="shared" si="5"/>
        <v>6565</v>
      </c>
      <c r="K27" s="34">
        <f t="shared" si="2"/>
        <v>6565</v>
      </c>
      <c r="L27" s="8"/>
    </row>
    <row r="28" spans="1:12" x14ac:dyDescent="0.2">
      <c r="A28" s="733" t="s">
        <v>27</v>
      </c>
      <c r="B28" s="733"/>
      <c r="C28" s="590"/>
      <c r="D28" s="590"/>
      <c r="F28" s="279">
        <v>25</v>
      </c>
      <c r="G28" s="9">
        <v>2910</v>
      </c>
      <c r="H28" s="279">
        <v>25</v>
      </c>
      <c r="I28" s="278">
        <f t="shared" si="4"/>
        <v>183964</v>
      </c>
      <c r="J28" s="34">
        <f t="shared" si="5"/>
        <v>6565</v>
      </c>
      <c r="K28" s="34">
        <f t="shared" si="2"/>
        <v>6565</v>
      </c>
      <c r="L28" s="8"/>
    </row>
    <row r="29" spans="1:12" x14ac:dyDescent="0.2">
      <c r="A29" s="733" t="s">
        <v>21</v>
      </c>
      <c r="B29" s="733"/>
      <c r="C29" s="592">
        <f t="shared" ref="C29:D31" si="6">ROUND(C83*(1+$C$1),2)</f>
        <v>3600.55</v>
      </c>
      <c r="D29" s="592">
        <f t="shared" si="6"/>
        <v>21.05</v>
      </c>
      <c r="F29" s="279">
        <v>26</v>
      </c>
      <c r="G29" s="9">
        <v>3015</v>
      </c>
      <c r="H29" s="279">
        <v>26</v>
      </c>
      <c r="I29" s="278">
        <f t="shared" si="4"/>
        <v>190529</v>
      </c>
      <c r="J29" s="34">
        <f t="shared" si="5"/>
        <v>6565</v>
      </c>
      <c r="K29" s="34">
        <f t="shared" si="2"/>
        <v>6565</v>
      </c>
      <c r="L29" s="8"/>
    </row>
    <row r="30" spans="1:12" x14ac:dyDescent="0.2">
      <c r="A30" s="733" t="s">
        <v>22</v>
      </c>
      <c r="B30" s="733"/>
      <c r="C30" s="592">
        <f t="shared" si="6"/>
        <v>533.79</v>
      </c>
      <c r="D30" s="592">
        <f t="shared" si="6"/>
        <v>3.71</v>
      </c>
      <c r="F30" s="279">
        <v>27</v>
      </c>
      <c r="G30" s="9">
        <v>3120</v>
      </c>
      <c r="H30" s="279">
        <v>27</v>
      </c>
      <c r="I30" s="278">
        <f t="shared" si="4"/>
        <v>197094</v>
      </c>
      <c r="J30" s="34">
        <f t="shared" si="5"/>
        <v>6565</v>
      </c>
      <c r="K30" s="34">
        <f t="shared" si="2"/>
        <v>6565</v>
      </c>
      <c r="L30" s="8"/>
    </row>
    <row r="31" spans="1:12" x14ac:dyDescent="0.2">
      <c r="A31" s="733" t="s">
        <v>23</v>
      </c>
      <c r="B31" s="733"/>
      <c r="C31" s="592">
        <f t="shared" si="6"/>
        <v>1988.14</v>
      </c>
      <c r="D31" s="592">
        <f t="shared" si="6"/>
        <v>25.98</v>
      </c>
      <c r="F31" s="279">
        <v>28</v>
      </c>
      <c r="G31" s="9">
        <v>3225</v>
      </c>
      <c r="H31" s="279">
        <v>28</v>
      </c>
      <c r="I31" s="278">
        <f t="shared" si="4"/>
        <v>203659</v>
      </c>
      <c r="J31" s="34">
        <f t="shared" si="5"/>
        <v>6565</v>
      </c>
      <c r="K31" s="34">
        <f t="shared" si="2"/>
        <v>6565</v>
      </c>
      <c r="L31" s="8"/>
    </row>
    <row r="32" spans="1:12" x14ac:dyDescent="0.2">
      <c r="A32" s="4"/>
      <c r="B32" s="4"/>
      <c r="C32" s="17">
        <f>SUM(C29:C31)</f>
        <v>6122.4800000000005</v>
      </c>
      <c r="D32" s="17">
        <f>SUM(D29:D31)</f>
        <v>50.74</v>
      </c>
      <c r="F32" s="279">
        <v>29</v>
      </c>
      <c r="G32" s="9">
        <v>3330</v>
      </c>
      <c r="H32" s="279">
        <v>29</v>
      </c>
      <c r="I32" s="278">
        <f t="shared" si="4"/>
        <v>210224</v>
      </c>
      <c r="J32" s="34">
        <f t="shared" si="5"/>
        <v>6565</v>
      </c>
      <c r="K32" s="34">
        <f t="shared" si="2"/>
        <v>6565</v>
      </c>
      <c r="L32" s="8"/>
    </row>
    <row r="33" spans="1:12" x14ac:dyDescent="0.2">
      <c r="A33" s="733" t="s">
        <v>133</v>
      </c>
      <c r="B33" s="733"/>
      <c r="C33" s="610">
        <f>C27+C32-0.01</f>
        <v>13745.410000000002</v>
      </c>
      <c r="D33" s="610">
        <f>D27+D32-0.02</f>
        <v>331.26000000000005</v>
      </c>
      <c r="F33" s="279">
        <v>30</v>
      </c>
      <c r="G33" s="9">
        <v>3435</v>
      </c>
      <c r="H33" s="279">
        <v>30</v>
      </c>
      <c r="I33" s="278">
        <f t="shared" si="4"/>
        <v>216789</v>
      </c>
      <c r="J33" s="34">
        <f t="shared" si="5"/>
        <v>6565</v>
      </c>
      <c r="K33" s="34">
        <f t="shared" si="2"/>
        <v>6565</v>
      </c>
      <c r="L33" s="8"/>
    </row>
    <row r="34" spans="1:12" x14ac:dyDescent="0.2">
      <c r="A34" s="4"/>
      <c r="B34" s="4"/>
      <c r="C34" s="591"/>
      <c r="D34" s="591"/>
      <c r="F34" s="279">
        <v>31</v>
      </c>
      <c r="G34" s="9">
        <v>3540</v>
      </c>
      <c r="H34" s="279">
        <v>31</v>
      </c>
      <c r="I34" s="278">
        <f t="shared" si="4"/>
        <v>223354</v>
      </c>
      <c r="J34" s="34">
        <f t="shared" si="5"/>
        <v>6565</v>
      </c>
      <c r="K34" s="34">
        <f t="shared" si="2"/>
        <v>6565</v>
      </c>
      <c r="L34" s="8"/>
    </row>
    <row r="35" spans="1:12" x14ac:dyDescent="0.2">
      <c r="A35" s="733" t="s">
        <v>134</v>
      </c>
      <c r="B35" s="733"/>
      <c r="C35" s="592">
        <f>ROUND(C89*(1+$C$1),2)</f>
        <v>113.88</v>
      </c>
      <c r="D35" s="592">
        <f>ROUND(D89*(1+$C$1),2)</f>
        <v>20.399999999999999</v>
      </c>
      <c r="F35" s="279">
        <v>32</v>
      </c>
      <c r="G35" s="9">
        <v>3645</v>
      </c>
      <c r="H35" s="279">
        <v>32</v>
      </c>
      <c r="I35" s="278">
        <f t="shared" si="4"/>
        <v>229919</v>
      </c>
      <c r="J35" s="34">
        <f t="shared" si="5"/>
        <v>6565</v>
      </c>
      <c r="K35" s="34">
        <f t="shared" si="2"/>
        <v>6565</v>
      </c>
      <c r="L35" s="8"/>
    </row>
    <row r="36" spans="1:12" x14ac:dyDescent="0.2">
      <c r="A36" s="733" t="s">
        <v>135</v>
      </c>
      <c r="B36" s="733"/>
      <c r="C36" s="597" t="s">
        <v>156</v>
      </c>
      <c r="D36" s="597" t="s">
        <v>156</v>
      </c>
      <c r="F36" s="279">
        <v>33</v>
      </c>
      <c r="G36" s="9">
        <v>3750</v>
      </c>
      <c r="H36" s="279">
        <v>33</v>
      </c>
      <c r="I36" s="278">
        <f t="shared" si="4"/>
        <v>236484</v>
      </c>
      <c r="J36" s="34">
        <f t="shared" si="5"/>
        <v>6565</v>
      </c>
      <c r="K36" s="34">
        <f t="shared" si="2"/>
        <v>6565</v>
      </c>
      <c r="L36" s="8"/>
    </row>
    <row r="37" spans="1:12" x14ac:dyDescent="0.2">
      <c r="F37" s="279">
        <v>34</v>
      </c>
      <c r="G37" s="9">
        <v>3855</v>
      </c>
      <c r="H37" s="279">
        <v>34</v>
      </c>
      <c r="I37" s="278">
        <f t="shared" si="4"/>
        <v>243049</v>
      </c>
      <c r="J37" s="34">
        <f t="shared" si="5"/>
        <v>6565</v>
      </c>
      <c r="K37" s="34">
        <f t="shared" si="2"/>
        <v>6565</v>
      </c>
      <c r="L37" s="8"/>
    </row>
    <row r="38" spans="1:12" x14ac:dyDescent="0.2">
      <c r="F38" s="279">
        <v>35</v>
      </c>
      <c r="G38" s="9">
        <v>3960</v>
      </c>
      <c r="H38" s="279">
        <v>35</v>
      </c>
      <c r="I38" s="278">
        <f t="shared" si="4"/>
        <v>249614</v>
      </c>
      <c r="J38" s="34">
        <f t="shared" si="5"/>
        <v>6565</v>
      </c>
      <c r="K38" s="34">
        <f t="shared" si="2"/>
        <v>6565</v>
      </c>
      <c r="L38" s="8"/>
    </row>
    <row r="39" spans="1:12" x14ac:dyDescent="0.2">
      <c r="F39" s="9">
        <v>36</v>
      </c>
      <c r="G39" s="9">
        <v>4065</v>
      </c>
      <c r="H39" s="9">
        <v>36</v>
      </c>
      <c r="I39" s="278">
        <f t="shared" si="4"/>
        <v>256179</v>
      </c>
      <c r="J39" s="34">
        <f t="shared" si="5"/>
        <v>6565</v>
      </c>
      <c r="K39" s="34">
        <f t="shared" si="2"/>
        <v>6565</v>
      </c>
      <c r="L39" s="8"/>
    </row>
    <row r="40" spans="1:12" x14ac:dyDescent="0.2">
      <c r="F40" s="9">
        <v>37</v>
      </c>
      <c r="G40" s="9">
        <v>4170</v>
      </c>
      <c r="H40" s="9">
        <v>37</v>
      </c>
      <c r="I40" s="278">
        <f>+I39+K40</f>
        <v>262744</v>
      </c>
      <c r="J40" s="34">
        <f t="shared" si="5"/>
        <v>6565</v>
      </c>
      <c r="K40" s="34">
        <f t="shared" si="2"/>
        <v>6565</v>
      </c>
      <c r="L40" s="8"/>
    </row>
    <row r="41" spans="1:12" x14ac:dyDescent="0.2">
      <c r="C41" s="287"/>
      <c r="F41" s="9">
        <v>38</v>
      </c>
      <c r="G41" s="9">
        <v>4275</v>
      </c>
      <c r="H41" s="9">
        <v>38</v>
      </c>
      <c r="I41" s="278">
        <f t="shared" ref="I41:I48" si="7">+I40+K41</f>
        <v>269309</v>
      </c>
      <c r="J41" s="34">
        <f t="shared" si="5"/>
        <v>6565</v>
      </c>
      <c r="K41" s="34">
        <f t="shared" si="2"/>
        <v>6565</v>
      </c>
      <c r="L41" s="8"/>
    </row>
    <row r="42" spans="1:12" x14ac:dyDescent="0.2">
      <c r="F42" s="9">
        <v>39</v>
      </c>
      <c r="G42" s="9">
        <v>4380</v>
      </c>
      <c r="H42" s="9">
        <v>39</v>
      </c>
      <c r="I42" s="278">
        <f t="shared" si="7"/>
        <v>275874</v>
      </c>
      <c r="J42" s="34">
        <f t="shared" si="5"/>
        <v>6565</v>
      </c>
      <c r="K42" s="34">
        <f t="shared" si="2"/>
        <v>6565</v>
      </c>
      <c r="L42" s="8"/>
    </row>
    <row r="43" spans="1:12" x14ac:dyDescent="0.2">
      <c r="F43" s="9">
        <v>40</v>
      </c>
      <c r="G43" s="9">
        <v>4485</v>
      </c>
      <c r="H43" s="9">
        <v>40</v>
      </c>
      <c r="I43" s="278">
        <f t="shared" si="7"/>
        <v>282439</v>
      </c>
      <c r="J43" s="34">
        <f t="shared" si="5"/>
        <v>6565</v>
      </c>
      <c r="K43" s="34">
        <f t="shared" si="2"/>
        <v>6565</v>
      </c>
      <c r="L43" s="8"/>
    </row>
    <row r="44" spans="1:12" x14ac:dyDescent="0.2">
      <c r="F44" s="9">
        <v>41</v>
      </c>
      <c r="G44" s="9">
        <v>4590</v>
      </c>
      <c r="H44" s="9">
        <v>41</v>
      </c>
      <c r="I44" s="278">
        <f t="shared" si="7"/>
        <v>289004</v>
      </c>
      <c r="J44" s="34">
        <f t="shared" si="5"/>
        <v>6565</v>
      </c>
      <c r="K44" s="34">
        <f t="shared" si="2"/>
        <v>6565</v>
      </c>
      <c r="L44" s="8"/>
    </row>
    <row r="45" spans="1:12" x14ac:dyDescent="0.2">
      <c r="F45" s="9">
        <v>42</v>
      </c>
      <c r="G45" s="9">
        <v>4695</v>
      </c>
      <c r="H45" s="9">
        <v>42</v>
      </c>
      <c r="I45" s="278">
        <f t="shared" si="7"/>
        <v>295569</v>
      </c>
      <c r="J45" s="34">
        <f t="shared" si="5"/>
        <v>6565</v>
      </c>
      <c r="K45" s="34">
        <f t="shared" si="2"/>
        <v>6565</v>
      </c>
      <c r="L45" s="8"/>
    </row>
    <row r="46" spans="1:12" x14ac:dyDescent="0.2">
      <c r="F46" s="9">
        <v>43</v>
      </c>
      <c r="G46" s="9">
        <v>4800</v>
      </c>
      <c r="H46" s="9">
        <v>43</v>
      </c>
      <c r="I46" s="278">
        <f t="shared" si="7"/>
        <v>302134</v>
      </c>
      <c r="J46" s="34">
        <f t="shared" si="5"/>
        <v>6565</v>
      </c>
      <c r="K46" s="34">
        <f t="shared" si="2"/>
        <v>6565</v>
      </c>
      <c r="L46" s="8"/>
    </row>
    <row r="47" spans="1:12" x14ac:dyDescent="0.2">
      <c r="F47" s="9">
        <v>44</v>
      </c>
      <c r="G47" s="9">
        <v>4905</v>
      </c>
      <c r="H47" s="9">
        <v>44</v>
      </c>
      <c r="I47" s="278">
        <f t="shared" si="7"/>
        <v>308699</v>
      </c>
      <c r="J47" s="34">
        <f t="shared" si="5"/>
        <v>6565</v>
      </c>
      <c r="K47" s="34">
        <f t="shared" si="2"/>
        <v>6565</v>
      </c>
      <c r="L47" s="8"/>
    </row>
    <row r="48" spans="1:12" x14ac:dyDescent="0.2">
      <c r="F48" s="9">
        <v>45</v>
      </c>
      <c r="G48" s="9">
        <v>5010</v>
      </c>
      <c r="H48" s="9">
        <v>45</v>
      </c>
      <c r="I48" s="278">
        <f t="shared" si="7"/>
        <v>315264</v>
      </c>
      <c r="J48" s="34">
        <f t="shared" si="5"/>
        <v>6565</v>
      </c>
      <c r="K48" s="34">
        <f t="shared" si="2"/>
        <v>6565</v>
      </c>
      <c r="L48" s="8"/>
    </row>
    <row r="49" spans="1:15" x14ac:dyDescent="0.2">
      <c r="F49" s="9">
        <v>46</v>
      </c>
      <c r="G49" s="9">
        <v>5115</v>
      </c>
      <c r="H49" s="9">
        <v>46</v>
      </c>
      <c r="I49" s="278">
        <f>+I48+K49</f>
        <v>321829</v>
      </c>
      <c r="J49" s="34">
        <f>+I49-I48</f>
        <v>6565</v>
      </c>
      <c r="K49" s="34">
        <f>K48</f>
        <v>6565</v>
      </c>
      <c r="L49" s="8"/>
    </row>
    <row r="50" spans="1:15" x14ac:dyDescent="0.2">
      <c r="F50" s="9">
        <v>47</v>
      </c>
      <c r="G50" s="9">
        <v>5220</v>
      </c>
      <c r="H50" s="9">
        <v>47</v>
      </c>
      <c r="I50" s="278">
        <f>+I49+K50</f>
        <v>328394</v>
      </c>
      <c r="J50" s="34">
        <f>+I50-I49</f>
        <v>6565</v>
      </c>
      <c r="K50" s="34">
        <f>K49</f>
        <v>6565</v>
      </c>
      <c r="L50" s="8"/>
    </row>
    <row r="51" spans="1:15" x14ac:dyDescent="0.2">
      <c r="F51" s="9">
        <v>48</v>
      </c>
      <c r="G51" s="9">
        <v>5325</v>
      </c>
      <c r="H51" s="9">
        <v>48</v>
      </c>
      <c r="I51" s="278">
        <f>+I50+K51</f>
        <v>334959</v>
      </c>
      <c r="J51" s="34">
        <f>+I51-I50</f>
        <v>6565</v>
      </c>
      <c r="K51" s="34">
        <f>K50</f>
        <v>6565</v>
      </c>
      <c r="L51" s="8"/>
    </row>
    <row r="52" spans="1:15" x14ac:dyDescent="0.2">
      <c r="F52" s="9">
        <v>49</v>
      </c>
      <c r="G52" s="9">
        <v>5430</v>
      </c>
      <c r="H52" s="9">
        <v>49</v>
      </c>
      <c r="I52" s="278">
        <f>+I51+K52</f>
        <v>341524</v>
      </c>
      <c r="J52" s="34">
        <f>+I52-I51</f>
        <v>6565</v>
      </c>
      <c r="K52" s="34">
        <f>K51</f>
        <v>6565</v>
      </c>
      <c r="L52" s="8"/>
    </row>
    <row r="53" spans="1:15" x14ac:dyDescent="0.2">
      <c r="F53" s="9">
        <v>50</v>
      </c>
      <c r="G53" s="9">
        <v>5535</v>
      </c>
      <c r="H53" s="9">
        <v>50</v>
      </c>
      <c r="I53" s="278">
        <f>+I52+K53</f>
        <v>348089</v>
      </c>
      <c r="J53" s="34">
        <f>+I53-I52</f>
        <v>6565</v>
      </c>
      <c r="K53" s="34">
        <f>K52</f>
        <v>6565</v>
      </c>
      <c r="L53" s="8"/>
    </row>
    <row r="55" spans="1:15" x14ac:dyDescent="0.2">
      <c r="A55" s="2" t="s">
        <v>316</v>
      </c>
      <c r="C55" s="588">
        <v>2E-3</v>
      </c>
      <c r="F55" s="2" t="s">
        <v>317</v>
      </c>
      <c r="G55" s="643"/>
    </row>
    <row r="56" spans="1:15" x14ac:dyDescent="0.2">
      <c r="A56" s="4" t="s">
        <v>7</v>
      </c>
      <c r="B56" s="614"/>
      <c r="C56" s="739">
        <v>2017</v>
      </c>
      <c r="D56" s="740"/>
      <c r="F56" s="614" t="s">
        <v>76</v>
      </c>
      <c r="G56" s="614" t="s">
        <v>59</v>
      </c>
      <c r="H56" s="614" t="s">
        <v>76</v>
      </c>
      <c r="I56" s="614" t="s">
        <v>36</v>
      </c>
      <c r="J56" s="614" t="s">
        <v>77</v>
      </c>
      <c r="K56" s="22" t="s">
        <v>78</v>
      </c>
      <c r="L56" s="614" t="s">
        <v>136</v>
      </c>
    </row>
    <row r="57" spans="1:15" x14ac:dyDescent="0.2">
      <c r="A57" s="614" t="s">
        <v>8</v>
      </c>
      <c r="B57" s="614"/>
      <c r="C57" s="16"/>
      <c r="F57" s="614" t="s">
        <v>58</v>
      </c>
      <c r="G57" s="614" t="s">
        <v>60</v>
      </c>
      <c r="H57" s="614"/>
      <c r="I57" s="614"/>
      <c r="J57" s="614"/>
      <c r="K57" s="614"/>
      <c r="L57" s="22" t="s">
        <v>79</v>
      </c>
      <c r="N57" s="20" t="s">
        <v>75</v>
      </c>
      <c r="O57" s="614"/>
    </row>
    <row r="58" spans="1:15" x14ac:dyDescent="0.2">
      <c r="A58" s="614" t="s">
        <v>9</v>
      </c>
      <c r="B58" s="614"/>
      <c r="C58" s="592">
        <v>1395.36</v>
      </c>
      <c r="D58" s="592">
        <v>30.34</v>
      </c>
      <c r="F58" s="9">
        <v>0</v>
      </c>
      <c r="G58" s="9">
        <v>0</v>
      </c>
      <c r="H58" s="9">
        <v>0</v>
      </c>
      <c r="I58" s="566">
        <v>0</v>
      </c>
      <c r="J58" s="8"/>
      <c r="K58" s="8"/>
      <c r="L58" s="8"/>
      <c r="N58" s="21" t="s">
        <v>33</v>
      </c>
      <c r="O58" s="596">
        <v>0.05</v>
      </c>
    </row>
    <row r="59" spans="1:15" x14ac:dyDescent="0.2">
      <c r="A59" s="614" t="s">
        <v>10</v>
      </c>
      <c r="B59" s="614"/>
      <c r="C59" s="592">
        <v>47.01</v>
      </c>
      <c r="D59" s="592">
        <v>0.46</v>
      </c>
      <c r="F59" s="279">
        <v>2</v>
      </c>
      <c r="G59" s="9">
        <v>375</v>
      </c>
      <c r="H59" s="279">
        <v>2</v>
      </c>
      <c r="I59" s="594">
        <v>24855</v>
      </c>
      <c r="J59" s="8"/>
      <c r="K59" s="8"/>
      <c r="L59" s="8"/>
      <c r="N59" s="614" t="s">
        <v>34</v>
      </c>
      <c r="O59" s="596">
        <v>3.4299999999999997E-2</v>
      </c>
    </row>
    <row r="60" spans="1:15" x14ac:dyDescent="0.2">
      <c r="A60" s="614" t="s">
        <v>11</v>
      </c>
      <c r="B60" s="614"/>
      <c r="C60" s="592">
        <v>0</v>
      </c>
      <c r="D60" s="592">
        <v>19.57</v>
      </c>
      <c r="F60" s="279">
        <v>3</v>
      </c>
      <c r="G60" s="9">
        <v>495</v>
      </c>
      <c r="H60" s="279">
        <v>3</v>
      </c>
      <c r="I60" s="594">
        <v>32175</v>
      </c>
      <c r="J60" s="34">
        <f>+I60-I59</f>
        <v>7320</v>
      </c>
      <c r="K60" s="8"/>
      <c r="L60" s="8"/>
      <c r="N60" s="614" t="s">
        <v>35</v>
      </c>
      <c r="O60" s="596">
        <v>1.7899999999999999E-2</v>
      </c>
    </row>
    <row r="61" spans="1:15" x14ac:dyDescent="0.2">
      <c r="A61" s="614" t="s">
        <v>12</v>
      </c>
      <c r="B61" s="4"/>
      <c r="C61" s="589"/>
      <c r="D61" s="589"/>
      <c r="F61" s="279">
        <v>4</v>
      </c>
      <c r="G61" s="9">
        <v>650</v>
      </c>
      <c r="H61" s="279">
        <v>4</v>
      </c>
      <c r="I61" s="594">
        <v>41630</v>
      </c>
      <c r="J61" s="34">
        <f>+I61-I60</f>
        <v>9455</v>
      </c>
      <c r="K61" s="8"/>
      <c r="L61" s="8"/>
      <c r="N61" s="614" t="s">
        <v>61</v>
      </c>
      <c r="O61" s="596">
        <v>1.5642</v>
      </c>
    </row>
    <row r="62" spans="1:15" x14ac:dyDescent="0.2">
      <c r="A62" s="614" t="s">
        <v>13</v>
      </c>
      <c r="B62" s="614"/>
      <c r="C62" s="592">
        <v>90.28</v>
      </c>
      <c r="D62" s="592">
        <v>1.58</v>
      </c>
      <c r="F62" s="279">
        <v>5</v>
      </c>
      <c r="G62" s="9">
        <v>785</v>
      </c>
      <c r="H62" s="279">
        <v>5</v>
      </c>
      <c r="I62" s="594">
        <v>49865</v>
      </c>
      <c r="J62" s="34">
        <f>+I62-I61</f>
        <v>8235</v>
      </c>
      <c r="K62" s="8"/>
      <c r="L62" s="8"/>
      <c r="N62" s="614" t="s">
        <v>62</v>
      </c>
      <c r="O62" s="596">
        <v>1.15E-2</v>
      </c>
    </row>
    <row r="63" spans="1:15" x14ac:dyDescent="0.2">
      <c r="A63" s="614" t="s">
        <v>14</v>
      </c>
      <c r="B63" s="614"/>
      <c r="C63" s="592">
        <v>31.67</v>
      </c>
      <c r="D63" s="592">
        <v>6.57</v>
      </c>
      <c r="F63" s="279">
        <v>6</v>
      </c>
      <c r="G63" s="9">
        <v>875</v>
      </c>
      <c r="H63" s="279">
        <v>6</v>
      </c>
      <c r="I63" s="594">
        <v>55355</v>
      </c>
      <c r="J63" s="34">
        <f>+I63-I62</f>
        <v>5490</v>
      </c>
      <c r="K63" s="8"/>
      <c r="L63" s="8"/>
    </row>
    <row r="64" spans="1:15" x14ac:dyDescent="0.2">
      <c r="A64" s="614" t="s">
        <v>24</v>
      </c>
      <c r="B64" s="614"/>
      <c r="C64" s="592">
        <v>41.31</v>
      </c>
      <c r="D64" s="592">
        <v>0.45</v>
      </c>
      <c r="F64" s="279">
        <v>7</v>
      </c>
      <c r="G64" s="9">
        <v>980</v>
      </c>
      <c r="H64" s="279">
        <v>7</v>
      </c>
      <c r="I64" s="278">
        <f>+I63+K64</f>
        <v>61760</v>
      </c>
      <c r="J64" s="34">
        <f>+I64-I63</f>
        <v>6405</v>
      </c>
      <c r="K64" s="592">
        <v>6405</v>
      </c>
      <c r="L64" s="8"/>
    </row>
    <row r="65" spans="1:12" x14ac:dyDescent="0.2">
      <c r="A65" s="614" t="s">
        <v>131</v>
      </c>
      <c r="B65" s="614"/>
      <c r="C65" s="592">
        <v>373.94</v>
      </c>
      <c r="D65" s="592">
        <v>2.0299999999999998</v>
      </c>
      <c r="F65" s="279">
        <v>8</v>
      </c>
      <c r="G65" s="9">
        <v>1085</v>
      </c>
      <c r="H65" s="279">
        <v>8</v>
      </c>
      <c r="I65" s="278">
        <f t="shared" ref="I65:I70" si="8">+I64+K65</f>
        <v>68165</v>
      </c>
      <c r="J65" s="34">
        <f t="shared" ref="J65:J70" si="9">+I65-I64</f>
        <v>6405</v>
      </c>
      <c r="K65" s="34">
        <f t="shared" ref="K65:K102" si="10">K64</f>
        <v>6405</v>
      </c>
      <c r="L65" s="8"/>
    </row>
    <row r="66" spans="1:12" x14ac:dyDescent="0.2">
      <c r="A66" s="614"/>
      <c r="B66" s="614"/>
      <c r="C66" s="17">
        <f>SUM(C58:C65)</f>
        <v>1979.57</v>
      </c>
      <c r="D66" s="17">
        <f>SUM(D58:D65)</f>
        <v>61.000000000000007</v>
      </c>
      <c r="F66" s="279">
        <v>9</v>
      </c>
      <c r="G66" s="9">
        <v>1190</v>
      </c>
      <c r="H66" s="279">
        <v>9</v>
      </c>
      <c r="I66" s="278">
        <f t="shared" si="8"/>
        <v>74570</v>
      </c>
      <c r="J66" s="34">
        <f t="shared" si="9"/>
        <v>6405</v>
      </c>
      <c r="K66" s="34">
        <f t="shared" si="10"/>
        <v>6405</v>
      </c>
      <c r="L66" s="8"/>
    </row>
    <row r="67" spans="1:12" x14ac:dyDescent="0.2">
      <c r="A67" s="4" t="s">
        <v>15</v>
      </c>
      <c r="B67" s="614"/>
      <c r="C67" s="591"/>
      <c r="D67" s="591"/>
      <c r="F67" s="279">
        <v>10</v>
      </c>
      <c r="G67" s="9">
        <v>1295</v>
      </c>
      <c r="H67" s="279">
        <v>10</v>
      </c>
      <c r="I67" s="278">
        <f t="shared" si="8"/>
        <v>80975</v>
      </c>
      <c r="J67" s="34">
        <f t="shared" si="9"/>
        <v>6405</v>
      </c>
      <c r="K67" s="34">
        <f t="shared" si="10"/>
        <v>6405</v>
      </c>
      <c r="L67" s="8"/>
    </row>
    <row r="68" spans="1:12" x14ac:dyDescent="0.2">
      <c r="A68" s="614" t="s">
        <v>26</v>
      </c>
      <c r="B68" s="614"/>
      <c r="C68" s="591"/>
      <c r="D68" s="591"/>
      <c r="F68" s="279">
        <v>11</v>
      </c>
      <c r="G68" s="9">
        <v>1400</v>
      </c>
      <c r="H68" s="279">
        <v>11</v>
      </c>
      <c r="I68" s="278">
        <f t="shared" si="8"/>
        <v>87380</v>
      </c>
      <c r="J68" s="34">
        <f t="shared" si="9"/>
        <v>6405</v>
      </c>
      <c r="K68" s="34">
        <f t="shared" si="10"/>
        <v>6405</v>
      </c>
      <c r="L68" s="8"/>
    </row>
    <row r="69" spans="1:12" x14ac:dyDescent="0.2">
      <c r="A69" s="614" t="s">
        <v>16</v>
      </c>
      <c r="B69" s="614"/>
      <c r="C69" s="592">
        <v>9.8699999999999992</v>
      </c>
      <c r="D69" s="592">
        <v>1.85</v>
      </c>
      <c r="F69" s="279">
        <v>12</v>
      </c>
      <c r="G69" s="9">
        <v>1505</v>
      </c>
      <c r="H69" s="279">
        <v>12</v>
      </c>
      <c r="I69" s="278">
        <f t="shared" si="8"/>
        <v>93785</v>
      </c>
      <c r="J69" s="34">
        <f t="shared" si="9"/>
        <v>6405</v>
      </c>
      <c r="K69" s="34">
        <f t="shared" si="10"/>
        <v>6405</v>
      </c>
      <c r="L69" s="8"/>
    </row>
    <row r="70" spans="1:12" x14ac:dyDescent="0.2">
      <c r="A70" s="614" t="s">
        <v>25</v>
      </c>
      <c r="B70" s="614"/>
      <c r="C70" s="592">
        <v>9.8699999999999992</v>
      </c>
      <c r="D70" s="592">
        <v>1.03</v>
      </c>
      <c r="F70" s="279">
        <v>13</v>
      </c>
      <c r="G70" s="9">
        <v>1610</v>
      </c>
      <c r="H70" s="279">
        <v>13</v>
      </c>
      <c r="I70" s="278">
        <f t="shared" si="8"/>
        <v>100190</v>
      </c>
      <c r="J70" s="34">
        <f t="shared" si="9"/>
        <v>6405</v>
      </c>
      <c r="K70" s="34">
        <f t="shared" si="10"/>
        <v>6405</v>
      </c>
      <c r="L70" s="8"/>
    </row>
    <row r="71" spans="1:12" x14ac:dyDescent="0.2">
      <c r="A71" s="614" t="s">
        <v>17</v>
      </c>
      <c r="B71" s="614"/>
      <c r="C71" s="592">
        <v>27.5</v>
      </c>
      <c r="D71" s="592">
        <v>0.14000000000000001</v>
      </c>
      <c r="F71" s="279">
        <v>14</v>
      </c>
      <c r="G71" s="9">
        <v>1755</v>
      </c>
      <c r="H71" s="279">
        <v>14</v>
      </c>
      <c r="I71" s="278">
        <f>+I70+K71+L71</f>
        <v>109035</v>
      </c>
      <c r="J71" s="34">
        <f>+I71-I70</f>
        <v>8845</v>
      </c>
      <c r="K71" s="34">
        <f t="shared" si="10"/>
        <v>6405</v>
      </c>
      <c r="L71" s="592">
        <v>2440</v>
      </c>
    </row>
    <row r="72" spans="1:12" x14ac:dyDescent="0.2">
      <c r="A72" s="614" t="s">
        <v>18</v>
      </c>
      <c r="B72" s="614"/>
      <c r="C72" s="592">
        <v>101.51</v>
      </c>
      <c r="D72" s="592">
        <v>4.24</v>
      </c>
      <c r="F72" s="279">
        <v>15</v>
      </c>
      <c r="G72" s="9">
        <v>1860</v>
      </c>
      <c r="H72" s="279">
        <v>15</v>
      </c>
      <c r="I72" s="278">
        <f t="shared" ref="I72:I93" si="11">+I71+K72</f>
        <v>115440</v>
      </c>
      <c r="J72" s="34">
        <f t="shared" ref="J72:J102" si="12">+I72-I71</f>
        <v>6405</v>
      </c>
      <c r="K72" s="34">
        <f t="shared" si="10"/>
        <v>6405</v>
      </c>
      <c r="L72" s="8"/>
    </row>
    <row r="73" spans="1:12" x14ac:dyDescent="0.2">
      <c r="A73" s="614" t="s">
        <v>85</v>
      </c>
      <c r="B73" s="614"/>
      <c r="C73" s="593">
        <v>296.19</v>
      </c>
      <c r="D73" s="593">
        <v>19.670000000000002</v>
      </c>
      <c r="F73" s="279">
        <v>16</v>
      </c>
      <c r="G73" s="9">
        <v>1965</v>
      </c>
      <c r="H73" s="279">
        <v>16</v>
      </c>
      <c r="I73" s="278">
        <f t="shared" si="11"/>
        <v>121845</v>
      </c>
      <c r="J73" s="34">
        <f t="shared" si="12"/>
        <v>6405</v>
      </c>
      <c r="K73" s="34">
        <f t="shared" si="10"/>
        <v>6405</v>
      </c>
      <c r="L73" s="8"/>
    </row>
    <row r="74" spans="1:12" x14ac:dyDescent="0.2">
      <c r="A74" s="614" t="s">
        <v>86</v>
      </c>
      <c r="B74" s="614"/>
      <c r="C74" s="593">
        <v>0</v>
      </c>
      <c r="D74" s="593">
        <v>25.06</v>
      </c>
      <c r="F74" s="279">
        <v>17</v>
      </c>
      <c r="G74" s="9">
        <v>2070</v>
      </c>
      <c r="H74" s="279">
        <v>17</v>
      </c>
      <c r="I74" s="278">
        <f t="shared" si="11"/>
        <v>128250</v>
      </c>
      <c r="J74" s="34">
        <f t="shared" si="12"/>
        <v>6405</v>
      </c>
      <c r="K74" s="34">
        <f t="shared" si="10"/>
        <v>6405</v>
      </c>
      <c r="L74" s="8"/>
    </row>
    <row r="75" spans="1:12" x14ac:dyDescent="0.2">
      <c r="A75" s="614" t="s">
        <v>132</v>
      </c>
      <c r="B75" s="614"/>
      <c r="C75" s="593">
        <v>511.18</v>
      </c>
      <c r="D75" s="593">
        <v>7.83</v>
      </c>
      <c r="F75" s="279">
        <v>18</v>
      </c>
      <c r="G75" s="9">
        <v>2175</v>
      </c>
      <c r="H75" s="279">
        <v>18</v>
      </c>
      <c r="I75" s="278">
        <f t="shared" si="11"/>
        <v>134655</v>
      </c>
      <c r="J75" s="34">
        <f t="shared" si="12"/>
        <v>6405</v>
      </c>
      <c r="K75" s="34">
        <f t="shared" si="10"/>
        <v>6405</v>
      </c>
      <c r="L75" s="8"/>
    </row>
    <row r="76" spans="1:12" x14ac:dyDescent="0.2">
      <c r="A76" s="614" t="s">
        <v>19</v>
      </c>
      <c r="B76" s="614"/>
      <c r="C76" s="592">
        <v>118.58</v>
      </c>
      <c r="D76" s="592">
        <v>0.22</v>
      </c>
      <c r="F76" s="279">
        <v>19</v>
      </c>
      <c r="G76" s="9">
        <v>2280</v>
      </c>
      <c r="H76" s="279">
        <v>19</v>
      </c>
      <c r="I76" s="278">
        <f t="shared" si="11"/>
        <v>141060</v>
      </c>
      <c r="J76" s="34">
        <f t="shared" si="12"/>
        <v>6405</v>
      </c>
      <c r="K76" s="34">
        <f t="shared" si="10"/>
        <v>6405</v>
      </c>
      <c r="L76" s="8"/>
    </row>
    <row r="77" spans="1:12" x14ac:dyDescent="0.2">
      <c r="A77" s="614" t="s">
        <v>80</v>
      </c>
      <c r="B77" s="614"/>
      <c r="C77" s="593">
        <v>1794.08</v>
      </c>
      <c r="D77" s="593">
        <v>45.8</v>
      </c>
      <c r="F77" s="279">
        <v>20</v>
      </c>
      <c r="G77" s="9">
        <v>2385</v>
      </c>
      <c r="H77" s="279">
        <v>20</v>
      </c>
      <c r="I77" s="278">
        <f t="shared" si="11"/>
        <v>147465</v>
      </c>
      <c r="J77" s="34">
        <f t="shared" si="12"/>
        <v>6405</v>
      </c>
      <c r="K77" s="34">
        <f t="shared" si="10"/>
        <v>6405</v>
      </c>
      <c r="L77" s="8"/>
    </row>
    <row r="78" spans="1:12" x14ac:dyDescent="0.2">
      <c r="A78" s="614" t="s">
        <v>82</v>
      </c>
      <c r="B78" s="614"/>
      <c r="C78" s="593">
        <v>1868.51</v>
      </c>
      <c r="D78" s="593">
        <v>60.99</v>
      </c>
      <c r="F78" s="279">
        <v>21</v>
      </c>
      <c r="G78" s="9">
        <v>2490</v>
      </c>
      <c r="H78" s="279">
        <v>21</v>
      </c>
      <c r="I78" s="278">
        <f t="shared" si="11"/>
        <v>153870</v>
      </c>
      <c r="J78" s="34">
        <f t="shared" si="12"/>
        <v>6405</v>
      </c>
      <c r="K78" s="34">
        <f t="shared" si="10"/>
        <v>6405</v>
      </c>
      <c r="L78" s="8"/>
    </row>
    <row r="79" spans="1:12" x14ac:dyDescent="0.2">
      <c r="A79" s="614" t="s">
        <v>81</v>
      </c>
      <c r="B79" s="614"/>
      <c r="C79" s="593">
        <v>1821.5</v>
      </c>
      <c r="D79" s="593">
        <v>92.02</v>
      </c>
      <c r="F79" s="279">
        <v>22</v>
      </c>
      <c r="G79" s="9">
        <v>2595</v>
      </c>
      <c r="H79" s="279">
        <v>22</v>
      </c>
      <c r="I79" s="278">
        <f t="shared" si="11"/>
        <v>160275</v>
      </c>
      <c r="J79" s="34">
        <f t="shared" si="12"/>
        <v>6405</v>
      </c>
      <c r="K79" s="34">
        <f t="shared" si="10"/>
        <v>6405</v>
      </c>
      <c r="L79" s="8"/>
    </row>
    <row r="80" spans="1:12" x14ac:dyDescent="0.2">
      <c r="A80" s="614" t="s">
        <v>20</v>
      </c>
      <c r="B80" s="614"/>
      <c r="C80" s="592">
        <v>899.32</v>
      </c>
      <c r="D80" s="592">
        <v>15.65</v>
      </c>
      <c r="F80" s="279">
        <v>23</v>
      </c>
      <c r="G80" s="9">
        <v>2700</v>
      </c>
      <c r="H80" s="279">
        <v>23</v>
      </c>
      <c r="I80" s="278">
        <f t="shared" si="11"/>
        <v>166680</v>
      </c>
      <c r="J80" s="34">
        <f t="shared" si="12"/>
        <v>6405</v>
      </c>
      <c r="K80" s="34">
        <f t="shared" si="10"/>
        <v>6405</v>
      </c>
      <c r="L80" s="8"/>
    </row>
    <row r="81" spans="1:12" x14ac:dyDescent="0.2">
      <c r="A81" s="614"/>
      <c r="B81" s="4"/>
      <c r="C81" s="17">
        <f>SUM(C69:C80)</f>
        <v>7458.11</v>
      </c>
      <c r="D81" s="17">
        <f>SUM(D69:D80)</f>
        <v>274.49999999999994</v>
      </c>
      <c r="F81" s="279">
        <v>24</v>
      </c>
      <c r="G81" s="9">
        <v>2805</v>
      </c>
      <c r="H81" s="279">
        <v>24</v>
      </c>
      <c r="I81" s="278">
        <f t="shared" si="11"/>
        <v>173085</v>
      </c>
      <c r="J81" s="34">
        <f t="shared" si="12"/>
        <v>6405</v>
      </c>
      <c r="K81" s="34">
        <f t="shared" si="10"/>
        <v>6405</v>
      </c>
      <c r="L81" s="8"/>
    </row>
    <row r="82" spans="1:12" x14ac:dyDescent="0.2">
      <c r="A82" s="614" t="s">
        <v>27</v>
      </c>
      <c r="B82" s="614"/>
      <c r="C82" s="590"/>
      <c r="D82" s="590"/>
      <c r="F82" s="279">
        <v>25</v>
      </c>
      <c r="G82" s="9">
        <v>2910</v>
      </c>
      <c r="H82" s="279">
        <v>25</v>
      </c>
      <c r="I82" s="278">
        <f t="shared" si="11"/>
        <v>179490</v>
      </c>
      <c r="J82" s="34">
        <f t="shared" si="12"/>
        <v>6405</v>
      </c>
      <c r="K82" s="34">
        <f t="shared" si="10"/>
        <v>6405</v>
      </c>
      <c r="L82" s="8"/>
    </row>
    <row r="83" spans="1:12" x14ac:dyDescent="0.2">
      <c r="A83" s="614" t="s">
        <v>21</v>
      </c>
      <c r="B83" s="614"/>
      <c r="C83" s="592">
        <v>3522.7</v>
      </c>
      <c r="D83" s="592">
        <v>20.59</v>
      </c>
      <c r="F83" s="279">
        <v>26</v>
      </c>
      <c r="G83" s="9">
        <v>3015</v>
      </c>
      <c r="H83" s="279">
        <v>26</v>
      </c>
      <c r="I83" s="278">
        <f t="shared" si="11"/>
        <v>185895</v>
      </c>
      <c r="J83" s="34">
        <f t="shared" si="12"/>
        <v>6405</v>
      </c>
      <c r="K83" s="34">
        <f t="shared" si="10"/>
        <v>6405</v>
      </c>
      <c r="L83" s="8"/>
    </row>
    <row r="84" spans="1:12" x14ac:dyDescent="0.2">
      <c r="A84" s="614" t="s">
        <v>22</v>
      </c>
      <c r="B84" s="614"/>
      <c r="C84" s="592">
        <v>522.25</v>
      </c>
      <c r="D84" s="592">
        <v>3.63</v>
      </c>
      <c r="F84" s="279">
        <v>27</v>
      </c>
      <c r="G84" s="9">
        <v>3120</v>
      </c>
      <c r="H84" s="279">
        <v>27</v>
      </c>
      <c r="I84" s="278">
        <f t="shared" si="11"/>
        <v>192300</v>
      </c>
      <c r="J84" s="34">
        <f t="shared" si="12"/>
        <v>6405</v>
      </c>
      <c r="K84" s="34">
        <f t="shared" si="10"/>
        <v>6405</v>
      </c>
      <c r="L84" s="8"/>
    </row>
    <row r="85" spans="1:12" x14ac:dyDescent="0.2">
      <c r="A85" s="614" t="s">
        <v>23</v>
      </c>
      <c r="B85" s="614"/>
      <c r="C85" s="592">
        <v>1945.15</v>
      </c>
      <c r="D85" s="592">
        <v>25.42</v>
      </c>
      <c r="F85" s="279">
        <v>28</v>
      </c>
      <c r="G85" s="9">
        <v>3225</v>
      </c>
      <c r="H85" s="279">
        <v>28</v>
      </c>
      <c r="I85" s="278">
        <f t="shared" si="11"/>
        <v>198705</v>
      </c>
      <c r="J85" s="34">
        <f t="shared" si="12"/>
        <v>6405</v>
      </c>
      <c r="K85" s="34">
        <f t="shared" si="10"/>
        <v>6405</v>
      </c>
      <c r="L85" s="8"/>
    </row>
    <row r="86" spans="1:12" x14ac:dyDescent="0.2">
      <c r="A86" s="4"/>
      <c r="B86" s="4"/>
      <c r="C86" s="17">
        <f>SUM(C83:C85)</f>
        <v>5990.1</v>
      </c>
      <c r="D86" s="17">
        <f>SUM(D83:D85)</f>
        <v>49.64</v>
      </c>
      <c r="F86" s="279">
        <v>29</v>
      </c>
      <c r="G86" s="9">
        <v>3330</v>
      </c>
      <c r="H86" s="279">
        <v>29</v>
      </c>
      <c r="I86" s="278">
        <f t="shared" si="11"/>
        <v>205110</v>
      </c>
      <c r="J86" s="34">
        <f t="shared" si="12"/>
        <v>6405</v>
      </c>
      <c r="K86" s="34">
        <f t="shared" si="10"/>
        <v>6405</v>
      </c>
      <c r="L86" s="8"/>
    </row>
    <row r="87" spans="1:12" x14ac:dyDescent="0.2">
      <c r="A87" s="614" t="s">
        <v>133</v>
      </c>
      <c r="B87" s="614"/>
      <c r="C87" s="610">
        <f>C81+C86</f>
        <v>13448.21</v>
      </c>
      <c r="D87" s="610">
        <f>D81+D86</f>
        <v>324.13999999999993</v>
      </c>
      <c r="F87" s="279">
        <v>30</v>
      </c>
      <c r="G87" s="9">
        <v>3435</v>
      </c>
      <c r="H87" s="279">
        <v>30</v>
      </c>
      <c r="I87" s="278">
        <f t="shared" si="11"/>
        <v>211515</v>
      </c>
      <c r="J87" s="34">
        <f t="shared" si="12"/>
        <v>6405</v>
      </c>
      <c r="K87" s="34">
        <f t="shared" si="10"/>
        <v>6405</v>
      </c>
      <c r="L87" s="8"/>
    </row>
    <row r="88" spans="1:12" x14ac:dyDescent="0.2">
      <c r="A88" s="4"/>
      <c r="B88" s="4"/>
      <c r="C88" s="591"/>
      <c r="D88" s="591"/>
      <c r="F88" s="279">
        <v>31</v>
      </c>
      <c r="G88" s="9">
        <v>3540</v>
      </c>
      <c r="H88" s="279">
        <v>31</v>
      </c>
      <c r="I88" s="278">
        <f t="shared" si="11"/>
        <v>217920</v>
      </c>
      <c r="J88" s="34">
        <f t="shared" si="12"/>
        <v>6405</v>
      </c>
      <c r="K88" s="34">
        <f t="shared" si="10"/>
        <v>6405</v>
      </c>
      <c r="L88" s="8"/>
    </row>
    <row r="89" spans="1:12" x14ac:dyDescent="0.2">
      <c r="A89" s="614" t="s">
        <v>134</v>
      </c>
      <c r="B89" s="614"/>
      <c r="C89" s="592">
        <v>111.42</v>
      </c>
      <c r="D89" s="592">
        <v>19.96</v>
      </c>
      <c r="F89" s="279">
        <v>32</v>
      </c>
      <c r="G89" s="9">
        <v>3645</v>
      </c>
      <c r="H89" s="279">
        <v>32</v>
      </c>
      <c r="I89" s="278">
        <f t="shared" si="11"/>
        <v>224325</v>
      </c>
      <c r="J89" s="34">
        <f t="shared" si="12"/>
        <v>6405</v>
      </c>
      <c r="K89" s="34">
        <f t="shared" si="10"/>
        <v>6405</v>
      </c>
      <c r="L89" s="8"/>
    </row>
    <row r="90" spans="1:12" x14ac:dyDescent="0.2">
      <c r="A90" s="614" t="s">
        <v>135</v>
      </c>
      <c r="B90" s="614"/>
      <c r="C90" s="597" t="s">
        <v>156</v>
      </c>
      <c r="D90" s="597" t="s">
        <v>156</v>
      </c>
      <c r="F90" s="279">
        <v>33</v>
      </c>
      <c r="G90" s="9">
        <v>3750</v>
      </c>
      <c r="H90" s="279">
        <v>33</v>
      </c>
      <c r="I90" s="278">
        <f t="shared" si="11"/>
        <v>230730</v>
      </c>
      <c r="J90" s="34">
        <f t="shared" si="12"/>
        <v>6405</v>
      </c>
      <c r="K90" s="34">
        <f t="shared" si="10"/>
        <v>6405</v>
      </c>
      <c r="L90" s="8"/>
    </row>
    <row r="91" spans="1:12" x14ac:dyDescent="0.2">
      <c r="F91" s="279">
        <v>34</v>
      </c>
      <c r="G91" s="9">
        <v>3855</v>
      </c>
      <c r="H91" s="279">
        <v>34</v>
      </c>
      <c r="I91" s="278">
        <f t="shared" si="11"/>
        <v>237135</v>
      </c>
      <c r="J91" s="34">
        <f t="shared" si="12"/>
        <v>6405</v>
      </c>
      <c r="K91" s="34">
        <f t="shared" si="10"/>
        <v>6405</v>
      </c>
      <c r="L91" s="8"/>
    </row>
    <row r="92" spans="1:12" x14ac:dyDescent="0.2">
      <c r="F92" s="279">
        <v>35</v>
      </c>
      <c r="G92" s="9">
        <v>3960</v>
      </c>
      <c r="H92" s="279">
        <v>35</v>
      </c>
      <c r="I92" s="278">
        <f t="shared" si="11"/>
        <v>243540</v>
      </c>
      <c r="J92" s="34">
        <f t="shared" si="12"/>
        <v>6405</v>
      </c>
      <c r="K92" s="34">
        <f t="shared" si="10"/>
        <v>6405</v>
      </c>
      <c r="L92" s="8"/>
    </row>
    <row r="93" spans="1:12" x14ac:dyDescent="0.2">
      <c r="F93" s="9">
        <v>36</v>
      </c>
      <c r="G93" s="9">
        <v>4065</v>
      </c>
      <c r="H93" s="9">
        <v>36</v>
      </c>
      <c r="I93" s="278">
        <f t="shared" si="11"/>
        <v>249945</v>
      </c>
      <c r="J93" s="34">
        <f t="shared" si="12"/>
        <v>6405</v>
      </c>
      <c r="K93" s="34">
        <f t="shared" si="10"/>
        <v>6405</v>
      </c>
      <c r="L93" s="8"/>
    </row>
    <row r="94" spans="1:12" x14ac:dyDescent="0.2">
      <c r="F94" s="9">
        <v>37</v>
      </c>
      <c r="G94" s="9">
        <v>4170</v>
      </c>
      <c r="H94" s="9">
        <v>37</v>
      </c>
      <c r="I94" s="278">
        <f>+I93+K94</f>
        <v>256350</v>
      </c>
      <c r="J94" s="34">
        <f t="shared" si="12"/>
        <v>6405</v>
      </c>
      <c r="K94" s="34">
        <f t="shared" si="10"/>
        <v>6405</v>
      </c>
      <c r="L94" s="8"/>
    </row>
    <row r="95" spans="1:12" x14ac:dyDescent="0.2">
      <c r="C95" s="287"/>
      <c r="F95" s="9">
        <v>38</v>
      </c>
      <c r="G95" s="9">
        <v>4275</v>
      </c>
      <c r="H95" s="9">
        <v>38</v>
      </c>
      <c r="I95" s="278">
        <f t="shared" ref="I95:I102" si="13">+I94+K95</f>
        <v>262755</v>
      </c>
      <c r="J95" s="34">
        <f t="shared" si="12"/>
        <v>6405</v>
      </c>
      <c r="K95" s="34">
        <f t="shared" si="10"/>
        <v>6405</v>
      </c>
      <c r="L95" s="8"/>
    </row>
    <row r="96" spans="1:12" x14ac:dyDescent="0.2">
      <c r="F96" s="9">
        <v>39</v>
      </c>
      <c r="G96" s="9">
        <v>4380</v>
      </c>
      <c r="H96" s="9">
        <v>39</v>
      </c>
      <c r="I96" s="278">
        <f t="shared" si="13"/>
        <v>269160</v>
      </c>
      <c r="J96" s="34">
        <f t="shared" si="12"/>
        <v>6405</v>
      </c>
      <c r="K96" s="34">
        <f t="shared" si="10"/>
        <v>6405</v>
      </c>
      <c r="L96" s="8"/>
    </row>
    <row r="97" spans="1:12" x14ac:dyDescent="0.2">
      <c r="F97" s="9">
        <v>40</v>
      </c>
      <c r="G97" s="9">
        <v>4485</v>
      </c>
      <c r="H97" s="9">
        <v>40</v>
      </c>
      <c r="I97" s="278">
        <f t="shared" si="13"/>
        <v>275565</v>
      </c>
      <c r="J97" s="34">
        <f t="shared" si="12"/>
        <v>6405</v>
      </c>
      <c r="K97" s="34">
        <f t="shared" si="10"/>
        <v>6405</v>
      </c>
      <c r="L97" s="8"/>
    </row>
    <row r="98" spans="1:12" x14ac:dyDescent="0.2">
      <c r="F98" s="9">
        <v>41</v>
      </c>
      <c r="G98" s="9">
        <v>4590</v>
      </c>
      <c r="H98" s="9">
        <v>41</v>
      </c>
      <c r="I98" s="278">
        <f t="shared" si="13"/>
        <v>281970</v>
      </c>
      <c r="J98" s="34">
        <f t="shared" si="12"/>
        <v>6405</v>
      </c>
      <c r="K98" s="34">
        <f t="shared" si="10"/>
        <v>6405</v>
      </c>
      <c r="L98" s="8"/>
    </row>
    <row r="99" spans="1:12" x14ac:dyDescent="0.2">
      <c r="F99" s="9">
        <v>42</v>
      </c>
      <c r="G99" s="9">
        <v>4695</v>
      </c>
      <c r="H99" s="9">
        <v>42</v>
      </c>
      <c r="I99" s="278">
        <f t="shared" si="13"/>
        <v>288375</v>
      </c>
      <c r="J99" s="34">
        <f t="shared" si="12"/>
        <v>6405</v>
      </c>
      <c r="K99" s="34">
        <f t="shared" si="10"/>
        <v>6405</v>
      </c>
      <c r="L99" s="8"/>
    </row>
    <row r="100" spans="1:12" x14ac:dyDescent="0.2">
      <c r="F100" s="9">
        <v>43</v>
      </c>
      <c r="G100" s="9">
        <v>4800</v>
      </c>
      <c r="H100" s="9">
        <v>43</v>
      </c>
      <c r="I100" s="278">
        <f t="shared" si="13"/>
        <v>294780</v>
      </c>
      <c r="J100" s="34">
        <f t="shared" si="12"/>
        <v>6405</v>
      </c>
      <c r="K100" s="34">
        <f t="shared" si="10"/>
        <v>6405</v>
      </c>
      <c r="L100" s="8"/>
    </row>
    <row r="101" spans="1:12" x14ac:dyDescent="0.2">
      <c r="F101" s="9">
        <v>44</v>
      </c>
      <c r="G101" s="9">
        <v>4905</v>
      </c>
      <c r="H101" s="9">
        <v>44</v>
      </c>
      <c r="I101" s="278">
        <f t="shared" si="13"/>
        <v>301185</v>
      </c>
      <c r="J101" s="34">
        <f t="shared" si="12"/>
        <v>6405</v>
      </c>
      <c r="K101" s="34">
        <f t="shared" si="10"/>
        <v>6405</v>
      </c>
      <c r="L101" s="8"/>
    </row>
    <row r="102" spans="1:12" x14ac:dyDescent="0.2">
      <c r="F102" s="9">
        <v>45</v>
      </c>
      <c r="G102" s="9">
        <v>5010</v>
      </c>
      <c r="H102" s="9">
        <v>45</v>
      </c>
      <c r="I102" s="278">
        <f t="shared" si="13"/>
        <v>307590</v>
      </c>
      <c r="J102" s="34">
        <f t="shared" si="12"/>
        <v>6405</v>
      </c>
      <c r="K102" s="34">
        <f t="shared" si="10"/>
        <v>6405</v>
      </c>
      <c r="L102" s="8"/>
    </row>
    <row r="103" spans="1:12" x14ac:dyDescent="0.2">
      <c r="F103" s="9">
        <v>46</v>
      </c>
      <c r="G103" s="9">
        <v>5115</v>
      </c>
      <c r="H103" s="9">
        <v>46</v>
      </c>
      <c r="I103" s="278">
        <f>+I102+K103</f>
        <v>313995</v>
      </c>
      <c r="J103" s="34">
        <f>+I103-I102</f>
        <v>6405</v>
      </c>
      <c r="K103" s="34">
        <f>K102</f>
        <v>6405</v>
      </c>
      <c r="L103" s="8"/>
    </row>
    <row r="104" spans="1:12" x14ac:dyDescent="0.2">
      <c r="F104" s="9">
        <v>47</v>
      </c>
      <c r="G104" s="9">
        <v>5220</v>
      </c>
      <c r="H104" s="9">
        <v>47</v>
      </c>
      <c r="I104" s="278">
        <f>+I103+K104</f>
        <v>320400</v>
      </c>
      <c r="J104" s="34">
        <f>+I104-I103</f>
        <v>6405</v>
      </c>
      <c r="K104" s="34">
        <f>K103</f>
        <v>6405</v>
      </c>
      <c r="L104" s="8"/>
    </row>
    <row r="105" spans="1:12" x14ac:dyDescent="0.2">
      <c r="F105" s="9">
        <v>48</v>
      </c>
      <c r="G105" s="9">
        <v>5325</v>
      </c>
      <c r="H105" s="9">
        <v>48</v>
      </c>
      <c r="I105" s="278">
        <f>+I104+K105</f>
        <v>326805</v>
      </c>
      <c r="J105" s="34">
        <f>+I105-I104</f>
        <v>6405</v>
      </c>
      <c r="K105" s="34">
        <f>K104</f>
        <v>6405</v>
      </c>
      <c r="L105" s="8"/>
    </row>
    <row r="106" spans="1:12" x14ac:dyDescent="0.2">
      <c r="F106" s="9">
        <v>49</v>
      </c>
      <c r="G106" s="9">
        <v>5430</v>
      </c>
      <c r="H106" s="9">
        <v>49</v>
      </c>
      <c r="I106" s="278">
        <f>+I105+K106</f>
        <v>333210</v>
      </c>
      <c r="J106" s="34">
        <f>+I106-I105</f>
        <v>6405</v>
      </c>
      <c r="K106" s="34">
        <f>K105</f>
        <v>6405</v>
      </c>
      <c r="L106" s="8"/>
    </row>
    <row r="107" spans="1:12" x14ac:dyDescent="0.2">
      <c r="F107" s="9">
        <v>50</v>
      </c>
      <c r="G107" s="9">
        <v>5535</v>
      </c>
      <c r="H107" s="9">
        <v>50</v>
      </c>
      <c r="I107" s="278">
        <f>+I106+K107</f>
        <v>339615</v>
      </c>
      <c r="J107" s="34">
        <f>+I107-I106</f>
        <v>6405</v>
      </c>
      <c r="K107" s="34">
        <f>K106</f>
        <v>6405</v>
      </c>
      <c r="L107" s="8"/>
    </row>
    <row r="112" spans="1:12" x14ac:dyDescent="0.2">
      <c r="A112" s="2" t="s">
        <v>312</v>
      </c>
      <c r="C112" s="588">
        <v>2E-3</v>
      </c>
      <c r="F112" s="2" t="s">
        <v>318</v>
      </c>
      <c r="G112" s="643" t="s">
        <v>319</v>
      </c>
    </row>
    <row r="113" spans="1:15" x14ac:dyDescent="0.2">
      <c r="A113" s="4" t="s">
        <v>7</v>
      </c>
      <c r="B113" s="603"/>
      <c r="C113" s="739">
        <v>2016</v>
      </c>
      <c r="D113" s="740"/>
      <c r="F113" s="603" t="s">
        <v>76</v>
      </c>
      <c r="G113" s="603" t="s">
        <v>59</v>
      </c>
      <c r="H113" s="603" t="s">
        <v>76</v>
      </c>
      <c r="I113" s="603" t="s">
        <v>36</v>
      </c>
      <c r="J113" s="603" t="s">
        <v>77</v>
      </c>
      <c r="K113" s="22" t="s">
        <v>78</v>
      </c>
      <c r="L113" s="603" t="s">
        <v>136</v>
      </c>
    </row>
    <row r="114" spans="1:15" x14ac:dyDescent="0.2">
      <c r="A114" s="603" t="s">
        <v>8</v>
      </c>
      <c r="B114" s="603"/>
      <c r="C114" s="16"/>
      <c r="F114" s="603" t="s">
        <v>58</v>
      </c>
      <c r="G114" s="603" t="s">
        <v>60</v>
      </c>
      <c r="H114" s="603"/>
      <c r="I114" s="603"/>
      <c r="J114" s="603"/>
      <c r="K114" s="603"/>
      <c r="L114" s="22" t="s">
        <v>79</v>
      </c>
      <c r="N114" s="20" t="s">
        <v>75</v>
      </c>
      <c r="O114" s="603"/>
    </row>
    <row r="115" spans="1:15" x14ac:dyDescent="0.2">
      <c r="A115" s="603" t="s">
        <v>9</v>
      </c>
      <c r="B115" s="603"/>
      <c r="C115" s="592">
        <v>1392.58</v>
      </c>
      <c r="D115" s="592">
        <v>30.28</v>
      </c>
      <c r="F115" s="9">
        <v>0</v>
      </c>
      <c r="G115" s="9">
        <v>0</v>
      </c>
      <c r="H115" s="9">
        <v>0</v>
      </c>
      <c r="I115" s="566">
        <v>0</v>
      </c>
      <c r="J115" s="8"/>
      <c r="K115" s="8"/>
      <c r="L115" s="8"/>
      <c r="N115" s="21" t="s">
        <v>33</v>
      </c>
      <c r="O115" s="596">
        <v>0.05</v>
      </c>
    </row>
    <row r="116" spans="1:15" x14ac:dyDescent="0.2">
      <c r="A116" s="603" t="s">
        <v>10</v>
      </c>
      <c r="B116" s="603"/>
      <c r="C116" s="592">
        <v>46.92</v>
      </c>
      <c r="D116" s="592">
        <v>0.46</v>
      </c>
      <c r="F116" s="279">
        <v>2</v>
      </c>
      <c r="G116" s="9">
        <v>375</v>
      </c>
      <c r="H116" s="279">
        <v>2</v>
      </c>
      <c r="I116" s="594">
        <v>24806</v>
      </c>
      <c r="J116" s="8"/>
      <c r="K116" s="8"/>
      <c r="L116" s="8"/>
      <c r="N116" s="603" t="s">
        <v>34</v>
      </c>
      <c r="O116" s="596">
        <v>3.4299999999999997E-2</v>
      </c>
    </row>
    <row r="117" spans="1:15" x14ac:dyDescent="0.2">
      <c r="A117" s="603" t="s">
        <v>11</v>
      </c>
      <c r="B117" s="603"/>
      <c r="C117" s="592">
        <v>0</v>
      </c>
      <c r="D117" s="592">
        <v>19.53</v>
      </c>
      <c r="F117" s="279">
        <v>3</v>
      </c>
      <c r="G117" s="9">
        <v>495</v>
      </c>
      <c r="H117" s="279">
        <v>3</v>
      </c>
      <c r="I117" s="594">
        <v>32111</v>
      </c>
      <c r="J117" s="34">
        <f>+I117-I116</f>
        <v>7305</v>
      </c>
      <c r="K117" s="8"/>
      <c r="L117" s="8"/>
      <c r="N117" s="603" t="s">
        <v>35</v>
      </c>
      <c r="O117" s="596">
        <v>1.7899999999999999E-2</v>
      </c>
    </row>
    <row r="118" spans="1:15" x14ac:dyDescent="0.2">
      <c r="A118" s="603" t="s">
        <v>12</v>
      </c>
      <c r="B118" s="4"/>
      <c r="C118" s="589"/>
      <c r="D118" s="589"/>
      <c r="F118" s="279">
        <v>4</v>
      </c>
      <c r="G118" s="9">
        <v>650</v>
      </c>
      <c r="H118" s="279">
        <v>4</v>
      </c>
      <c r="I118" s="594">
        <v>41548</v>
      </c>
      <c r="J118" s="34">
        <f t="shared" ref="J118:J127" si="14">+I118-I117</f>
        <v>9437</v>
      </c>
      <c r="K118" s="8"/>
      <c r="L118" s="8"/>
      <c r="N118" s="603" t="s">
        <v>61</v>
      </c>
      <c r="O118" s="596">
        <v>1.5642</v>
      </c>
    </row>
    <row r="119" spans="1:15" x14ac:dyDescent="0.2">
      <c r="A119" s="603" t="s">
        <v>13</v>
      </c>
      <c r="B119" s="603"/>
      <c r="C119" s="592">
        <v>90.09</v>
      </c>
      <c r="D119" s="592">
        <v>1.57</v>
      </c>
      <c r="F119" s="279">
        <v>5</v>
      </c>
      <c r="G119" s="9">
        <v>785</v>
      </c>
      <c r="H119" s="279">
        <v>5</v>
      </c>
      <c r="I119" s="594">
        <v>49766</v>
      </c>
      <c r="J119" s="34">
        <f t="shared" si="14"/>
        <v>8218</v>
      </c>
      <c r="K119" s="8"/>
      <c r="L119" s="8"/>
      <c r="N119" s="603" t="s">
        <v>62</v>
      </c>
      <c r="O119" s="596">
        <v>1.15E-2</v>
      </c>
    </row>
    <row r="120" spans="1:15" x14ac:dyDescent="0.2">
      <c r="A120" s="603" t="s">
        <v>14</v>
      </c>
      <c r="B120" s="603"/>
      <c r="C120" s="592">
        <v>31.61</v>
      </c>
      <c r="D120" s="592">
        <v>6.56</v>
      </c>
      <c r="F120" s="279">
        <v>6</v>
      </c>
      <c r="G120" s="9">
        <v>875</v>
      </c>
      <c r="H120" s="279">
        <v>6</v>
      </c>
      <c r="I120" s="594">
        <v>55246</v>
      </c>
      <c r="J120" s="34">
        <f t="shared" si="14"/>
        <v>5480</v>
      </c>
      <c r="K120" s="8"/>
      <c r="L120" s="8"/>
    </row>
    <row r="121" spans="1:15" x14ac:dyDescent="0.2">
      <c r="A121" s="603" t="s">
        <v>24</v>
      </c>
      <c r="B121" s="603"/>
      <c r="C121" s="592">
        <v>41.23</v>
      </c>
      <c r="D121" s="592">
        <v>0.45</v>
      </c>
      <c r="F121" s="279">
        <v>7</v>
      </c>
      <c r="G121" s="9">
        <v>980</v>
      </c>
      <c r="H121" s="279">
        <v>7</v>
      </c>
      <c r="I121" s="278">
        <f t="shared" ref="I121:I127" si="15">+I120+K121</f>
        <v>61638</v>
      </c>
      <c r="J121" s="34">
        <f t="shared" si="14"/>
        <v>6392</v>
      </c>
      <c r="K121" s="592">
        <v>6392</v>
      </c>
      <c r="L121" s="8"/>
    </row>
    <row r="122" spans="1:15" x14ac:dyDescent="0.2">
      <c r="A122" s="603" t="s">
        <v>131</v>
      </c>
      <c r="B122" s="603"/>
      <c r="C122" s="592">
        <v>373.19</v>
      </c>
      <c r="D122" s="592">
        <v>2.0299999999999998</v>
      </c>
      <c r="F122" s="279">
        <v>8</v>
      </c>
      <c r="G122" s="9">
        <v>1085</v>
      </c>
      <c r="H122" s="279">
        <v>8</v>
      </c>
      <c r="I122" s="278">
        <f t="shared" si="15"/>
        <v>68030</v>
      </c>
      <c r="J122" s="34">
        <f t="shared" si="14"/>
        <v>6392</v>
      </c>
      <c r="K122" s="34">
        <f t="shared" ref="K122:K159" si="16">K121</f>
        <v>6392</v>
      </c>
      <c r="L122" s="8"/>
    </row>
    <row r="123" spans="1:15" x14ac:dyDescent="0.2">
      <c r="A123" s="603"/>
      <c r="B123" s="609"/>
      <c r="C123" s="17">
        <f>SUM(C115:C122)</f>
        <v>1975.62</v>
      </c>
      <c r="D123" s="17">
        <f>SUM(D115:D122)</f>
        <v>60.88000000000001</v>
      </c>
      <c r="F123" s="279">
        <v>9</v>
      </c>
      <c r="G123" s="9">
        <v>1190</v>
      </c>
      <c r="H123" s="279">
        <v>9</v>
      </c>
      <c r="I123" s="278">
        <f t="shared" si="15"/>
        <v>74422</v>
      </c>
      <c r="J123" s="34">
        <f t="shared" si="14"/>
        <v>6392</v>
      </c>
      <c r="K123" s="34">
        <f t="shared" si="16"/>
        <v>6392</v>
      </c>
      <c r="L123" s="8"/>
    </row>
    <row r="124" spans="1:15" x14ac:dyDescent="0.2">
      <c r="A124" s="4" t="s">
        <v>15</v>
      </c>
      <c r="B124" s="603"/>
      <c r="C124" s="591"/>
      <c r="D124" s="591"/>
      <c r="F124" s="279">
        <v>10</v>
      </c>
      <c r="G124" s="9">
        <v>1295</v>
      </c>
      <c r="H124" s="279">
        <v>10</v>
      </c>
      <c r="I124" s="278">
        <f t="shared" si="15"/>
        <v>80814</v>
      </c>
      <c r="J124" s="34">
        <f t="shared" si="14"/>
        <v>6392</v>
      </c>
      <c r="K124" s="34">
        <f t="shared" si="16"/>
        <v>6392</v>
      </c>
      <c r="L124" s="8"/>
    </row>
    <row r="125" spans="1:15" x14ac:dyDescent="0.2">
      <c r="A125" s="603" t="s">
        <v>26</v>
      </c>
      <c r="B125" s="603"/>
      <c r="C125" s="591"/>
      <c r="D125" s="591"/>
      <c r="F125" s="279">
        <v>11</v>
      </c>
      <c r="G125" s="9">
        <v>1400</v>
      </c>
      <c r="H125" s="279">
        <v>11</v>
      </c>
      <c r="I125" s="278">
        <f t="shared" si="15"/>
        <v>87206</v>
      </c>
      <c r="J125" s="34">
        <f t="shared" si="14"/>
        <v>6392</v>
      </c>
      <c r="K125" s="34">
        <f t="shared" si="16"/>
        <v>6392</v>
      </c>
      <c r="L125" s="8"/>
    </row>
    <row r="126" spans="1:15" x14ac:dyDescent="0.2">
      <c r="A126" s="603" t="s">
        <v>16</v>
      </c>
      <c r="B126" s="603"/>
      <c r="C126" s="592">
        <v>9.85</v>
      </c>
      <c r="D126" s="592">
        <v>1.85</v>
      </c>
      <c r="F126" s="279">
        <v>12</v>
      </c>
      <c r="G126" s="9">
        <v>1505</v>
      </c>
      <c r="H126" s="279">
        <v>12</v>
      </c>
      <c r="I126" s="278">
        <f t="shared" si="15"/>
        <v>93598</v>
      </c>
      <c r="J126" s="34">
        <f t="shared" si="14"/>
        <v>6392</v>
      </c>
      <c r="K126" s="34">
        <f t="shared" si="16"/>
        <v>6392</v>
      </c>
      <c r="L126" s="8"/>
    </row>
    <row r="127" spans="1:15" x14ac:dyDescent="0.2">
      <c r="A127" s="603" t="s">
        <v>25</v>
      </c>
      <c r="B127" s="603"/>
      <c r="C127" s="592">
        <v>9.85</v>
      </c>
      <c r="D127" s="592">
        <v>1.03</v>
      </c>
      <c r="F127" s="279">
        <v>13</v>
      </c>
      <c r="G127" s="9">
        <v>1610</v>
      </c>
      <c r="H127" s="279">
        <v>13</v>
      </c>
      <c r="I127" s="278">
        <f t="shared" si="15"/>
        <v>99990</v>
      </c>
      <c r="J127" s="34">
        <f t="shared" si="14"/>
        <v>6392</v>
      </c>
      <c r="K127" s="34">
        <f t="shared" si="16"/>
        <v>6392</v>
      </c>
      <c r="L127" s="8"/>
    </row>
    <row r="128" spans="1:15" x14ac:dyDescent="0.2">
      <c r="A128" s="603" t="s">
        <v>17</v>
      </c>
      <c r="B128" s="603"/>
      <c r="C128" s="592">
        <v>27.45</v>
      </c>
      <c r="D128" s="592">
        <v>0.14000000000000001</v>
      </c>
      <c r="F128" s="279">
        <v>14</v>
      </c>
      <c r="G128" s="9">
        <v>1755</v>
      </c>
      <c r="H128" s="279">
        <v>14</v>
      </c>
      <c r="I128" s="278">
        <f>+I127+K128+L128</f>
        <v>108817</v>
      </c>
      <c r="J128" s="34">
        <f>+I128-I127</f>
        <v>8827</v>
      </c>
      <c r="K128" s="34">
        <f t="shared" si="16"/>
        <v>6392</v>
      </c>
      <c r="L128" s="592">
        <v>2435</v>
      </c>
    </row>
    <row r="129" spans="1:12" x14ac:dyDescent="0.2">
      <c r="A129" s="603" t="s">
        <v>18</v>
      </c>
      <c r="B129" s="603"/>
      <c r="C129" s="592">
        <v>101.31</v>
      </c>
      <c r="D129" s="592">
        <v>4.2300000000000004</v>
      </c>
      <c r="F129" s="279">
        <v>15</v>
      </c>
      <c r="G129" s="9">
        <v>1860</v>
      </c>
      <c r="H129" s="279">
        <v>15</v>
      </c>
      <c r="I129" s="278">
        <f t="shared" ref="I129:I150" si="17">+I128+K129</f>
        <v>115209</v>
      </c>
      <c r="J129" s="34">
        <f t="shared" ref="J129:J159" si="18">+I129-I128</f>
        <v>6392</v>
      </c>
      <c r="K129" s="34">
        <f t="shared" si="16"/>
        <v>6392</v>
      </c>
      <c r="L129" s="8"/>
    </row>
    <row r="130" spans="1:12" x14ac:dyDescent="0.2">
      <c r="A130" s="603" t="s">
        <v>85</v>
      </c>
      <c r="B130" s="603"/>
      <c r="C130" s="593">
        <v>295.60001999999997</v>
      </c>
      <c r="D130" s="593">
        <v>19.639200000000002</v>
      </c>
      <c r="F130" s="279">
        <v>16</v>
      </c>
      <c r="G130" s="9">
        <v>1965</v>
      </c>
      <c r="H130" s="279">
        <v>16</v>
      </c>
      <c r="I130" s="278">
        <f t="shared" si="17"/>
        <v>121601</v>
      </c>
      <c r="J130" s="34">
        <f t="shared" si="18"/>
        <v>6392</v>
      </c>
      <c r="K130" s="34">
        <f t="shared" si="16"/>
        <v>6392</v>
      </c>
      <c r="L130" s="8"/>
    </row>
    <row r="131" spans="1:12" x14ac:dyDescent="0.2">
      <c r="A131" s="603" t="s">
        <v>86</v>
      </c>
      <c r="B131" s="603"/>
      <c r="C131" s="593">
        <v>0</v>
      </c>
      <c r="D131" s="593">
        <v>25.009920000000001</v>
      </c>
      <c r="F131" s="279">
        <v>17</v>
      </c>
      <c r="G131" s="9">
        <v>2070</v>
      </c>
      <c r="H131" s="279">
        <v>17</v>
      </c>
      <c r="I131" s="278">
        <f t="shared" si="17"/>
        <v>127993</v>
      </c>
      <c r="J131" s="34">
        <f t="shared" si="18"/>
        <v>6392</v>
      </c>
      <c r="K131" s="34">
        <f t="shared" si="16"/>
        <v>6392</v>
      </c>
      <c r="L131" s="8"/>
    </row>
    <row r="132" spans="1:12" x14ac:dyDescent="0.2">
      <c r="A132" s="603" t="s">
        <v>132</v>
      </c>
      <c r="B132" s="603"/>
      <c r="C132" s="593">
        <v>510.15827999999999</v>
      </c>
      <c r="D132" s="593">
        <f>2.69538+5.12</f>
        <v>7.8153800000000002</v>
      </c>
      <c r="F132" s="279">
        <v>18</v>
      </c>
      <c r="G132" s="9">
        <v>2175</v>
      </c>
      <c r="H132" s="279">
        <v>18</v>
      </c>
      <c r="I132" s="278">
        <f t="shared" si="17"/>
        <v>134385</v>
      </c>
      <c r="J132" s="34">
        <f t="shared" si="18"/>
        <v>6392</v>
      </c>
      <c r="K132" s="34">
        <f t="shared" si="16"/>
        <v>6392</v>
      </c>
      <c r="L132" s="8"/>
    </row>
    <row r="133" spans="1:12" x14ac:dyDescent="0.2">
      <c r="A133" s="603" t="s">
        <v>19</v>
      </c>
      <c r="B133" s="603"/>
      <c r="C133" s="592">
        <v>118.34</v>
      </c>
      <c r="D133" s="592">
        <v>0.22</v>
      </c>
      <c r="F133" s="279">
        <v>19</v>
      </c>
      <c r="G133" s="9">
        <v>2280</v>
      </c>
      <c r="H133" s="279">
        <v>19</v>
      </c>
      <c r="I133" s="278">
        <f t="shared" si="17"/>
        <v>140777</v>
      </c>
      <c r="J133" s="34">
        <f t="shared" si="18"/>
        <v>6392</v>
      </c>
      <c r="K133" s="34">
        <f t="shared" si="16"/>
        <v>6392</v>
      </c>
      <c r="L133" s="8"/>
    </row>
    <row r="134" spans="1:12" x14ac:dyDescent="0.2">
      <c r="A134" s="603" t="s">
        <v>80</v>
      </c>
      <c r="B134" s="603"/>
      <c r="C134" s="593">
        <v>1790.50386</v>
      </c>
      <c r="D134" s="593">
        <v>45.701219999999999</v>
      </c>
      <c r="F134" s="279">
        <v>20</v>
      </c>
      <c r="G134" s="9">
        <v>2385</v>
      </c>
      <c r="H134" s="279">
        <v>20</v>
      </c>
      <c r="I134" s="278">
        <f t="shared" si="17"/>
        <v>147169</v>
      </c>
      <c r="J134" s="34">
        <f t="shared" si="18"/>
        <v>6392</v>
      </c>
      <c r="K134" s="34">
        <f t="shared" si="16"/>
        <v>6392</v>
      </c>
      <c r="L134" s="8"/>
    </row>
    <row r="135" spans="1:12" x14ac:dyDescent="0.2">
      <c r="A135" s="603" t="s">
        <v>82</v>
      </c>
      <c r="B135" s="603"/>
      <c r="C135" s="593">
        <v>1864.7821199999998</v>
      </c>
      <c r="D135" s="593">
        <v>60.86148</v>
      </c>
      <c r="F135" s="279">
        <v>21</v>
      </c>
      <c r="G135" s="9">
        <v>2490</v>
      </c>
      <c r="H135" s="279">
        <v>21</v>
      </c>
      <c r="I135" s="278">
        <f t="shared" si="17"/>
        <v>153561</v>
      </c>
      <c r="J135" s="34">
        <f t="shared" si="18"/>
        <v>6392</v>
      </c>
      <c r="K135" s="34">
        <f t="shared" si="16"/>
        <v>6392</v>
      </c>
      <c r="L135" s="8"/>
    </row>
    <row r="136" spans="1:12" x14ac:dyDescent="0.2">
      <c r="A136" s="603" t="s">
        <v>81</v>
      </c>
      <c r="B136" s="603"/>
      <c r="C136" s="593">
        <v>1817.8584599999999</v>
      </c>
      <c r="D136" s="593">
        <v>91.843319999999991</v>
      </c>
      <c r="F136" s="279">
        <v>22</v>
      </c>
      <c r="G136" s="9">
        <v>2595</v>
      </c>
      <c r="H136" s="279">
        <v>22</v>
      </c>
      <c r="I136" s="278">
        <f t="shared" si="17"/>
        <v>159953</v>
      </c>
      <c r="J136" s="34">
        <f t="shared" si="18"/>
        <v>6392</v>
      </c>
      <c r="K136" s="34">
        <f t="shared" si="16"/>
        <v>6392</v>
      </c>
      <c r="L136" s="8"/>
    </row>
    <row r="137" spans="1:12" x14ac:dyDescent="0.2">
      <c r="A137" s="603" t="s">
        <v>20</v>
      </c>
      <c r="B137" s="603"/>
      <c r="C137" s="592">
        <v>897.52</v>
      </c>
      <c r="D137" s="592">
        <v>15.64</v>
      </c>
      <c r="F137" s="279">
        <v>23</v>
      </c>
      <c r="G137" s="9">
        <v>2700</v>
      </c>
      <c r="H137" s="279">
        <v>23</v>
      </c>
      <c r="I137" s="278">
        <f t="shared" si="17"/>
        <v>166345</v>
      </c>
      <c r="J137" s="34">
        <f t="shared" si="18"/>
        <v>6392</v>
      </c>
      <c r="K137" s="34">
        <f t="shared" si="16"/>
        <v>6392</v>
      </c>
      <c r="L137" s="8"/>
    </row>
    <row r="138" spans="1:12" x14ac:dyDescent="0.2">
      <c r="A138" s="603"/>
      <c r="B138" s="4"/>
      <c r="C138" s="17">
        <f>SUM(C126:C137)</f>
        <v>7443.2227399999992</v>
      </c>
      <c r="D138" s="17">
        <f>SUM(D126:D137)</f>
        <v>273.98051999999996</v>
      </c>
      <c r="F138" s="279">
        <v>24</v>
      </c>
      <c r="G138" s="9">
        <v>2805</v>
      </c>
      <c r="H138" s="279">
        <v>24</v>
      </c>
      <c r="I138" s="278">
        <f t="shared" si="17"/>
        <v>172737</v>
      </c>
      <c r="J138" s="34">
        <f t="shared" si="18"/>
        <v>6392</v>
      </c>
      <c r="K138" s="34">
        <f t="shared" si="16"/>
        <v>6392</v>
      </c>
      <c r="L138" s="8"/>
    </row>
    <row r="139" spans="1:12" x14ac:dyDescent="0.2">
      <c r="A139" s="603" t="s">
        <v>27</v>
      </c>
      <c r="B139" s="603"/>
      <c r="C139" s="590"/>
      <c r="D139" s="590"/>
      <c r="F139" s="279">
        <v>25</v>
      </c>
      <c r="G139" s="9">
        <v>2910</v>
      </c>
      <c r="H139" s="279">
        <v>25</v>
      </c>
      <c r="I139" s="278">
        <f t="shared" si="17"/>
        <v>179129</v>
      </c>
      <c r="J139" s="34">
        <f t="shared" si="18"/>
        <v>6392</v>
      </c>
      <c r="K139" s="34">
        <f t="shared" si="16"/>
        <v>6392</v>
      </c>
      <c r="L139" s="8"/>
    </row>
    <row r="140" spans="1:12" x14ac:dyDescent="0.2">
      <c r="A140" s="603" t="s">
        <v>21</v>
      </c>
      <c r="B140" s="603"/>
      <c r="C140" s="592">
        <v>3515.67</v>
      </c>
      <c r="D140" s="592">
        <v>20.55</v>
      </c>
      <c r="F140" s="279">
        <v>26</v>
      </c>
      <c r="G140" s="9">
        <v>3015</v>
      </c>
      <c r="H140" s="279">
        <v>26</v>
      </c>
      <c r="I140" s="278">
        <f t="shared" si="17"/>
        <v>185521</v>
      </c>
      <c r="J140" s="34">
        <f t="shared" si="18"/>
        <v>6392</v>
      </c>
      <c r="K140" s="34">
        <f t="shared" si="16"/>
        <v>6392</v>
      </c>
      <c r="L140" s="8"/>
    </row>
    <row r="141" spans="1:12" x14ac:dyDescent="0.2">
      <c r="A141" s="603" t="s">
        <v>22</v>
      </c>
      <c r="B141" s="603"/>
      <c r="C141" s="592">
        <v>521.21</v>
      </c>
      <c r="D141" s="592">
        <v>3.62</v>
      </c>
      <c r="F141" s="279">
        <v>27</v>
      </c>
      <c r="G141" s="9">
        <v>3120</v>
      </c>
      <c r="H141" s="279">
        <v>27</v>
      </c>
      <c r="I141" s="278">
        <f t="shared" si="17"/>
        <v>191913</v>
      </c>
      <c r="J141" s="34">
        <f t="shared" si="18"/>
        <v>6392</v>
      </c>
      <c r="K141" s="34">
        <f t="shared" si="16"/>
        <v>6392</v>
      </c>
      <c r="L141" s="8"/>
    </row>
    <row r="142" spans="1:12" x14ac:dyDescent="0.2">
      <c r="A142" s="603" t="s">
        <v>23</v>
      </c>
      <c r="B142" s="603"/>
      <c r="C142" s="592">
        <v>1941.27</v>
      </c>
      <c r="D142" s="592">
        <v>20.73</v>
      </c>
      <c r="F142" s="279">
        <v>28</v>
      </c>
      <c r="G142" s="9">
        <v>3225</v>
      </c>
      <c r="H142" s="279">
        <v>28</v>
      </c>
      <c r="I142" s="278">
        <f t="shared" si="17"/>
        <v>198305</v>
      </c>
      <c r="J142" s="34">
        <f t="shared" si="18"/>
        <v>6392</v>
      </c>
      <c r="K142" s="34">
        <f t="shared" si="16"/>
        <v>6392</v>
      </c>
      <c r="L142" s="8"/>
    </row>
    <row r="143" spans="1:12" x14ac:dyDescent="0.2">
      <c r="A143" s="4"/>
      <c r="B143" s="4"/>
      <c r="C143" s="17">
        <f>SUM(C140:C142)</f>
        <v>5978.15</v>
      </c>
      <c r="D143" s="17">
        <f>SUM(D140:D142)</f>
        <v>44.900000000000006</v>
      </c>
      <c r="F143" s="279">
        <v>29</v>
      </c>
      <c r="G143" s="9">
        <v>3330</v>
      </c>
      <c r="H143" s="279">
        <v>29</v>
      </c>
      <c r="I143" s="278">
        <f t="shared" si="17"/>
        <v>204697</v>
      </c>
      <c r="J143" s="34">
        <f t="shared" si="18"/>
        <v>6392</v>
      </c>
      <c r="K143" s="34">
        <f t="shared" si="16"/>
        <v>6392</v>
      </c>
      <c r="L143" s="8"/>
    </row>
    <row r="144" spans="1:12" x14ac:dyDescent="0.2">
      <c r="A144" s="603" t="s">
        <v>133</v>
      </c>
      <c r="B144" s="603"/>
      <c r="C144" s="610">
        <f>C138+C143</f>
        <v>13421.372739999999</v>
      </c>
      <c r="D144" s="610">
        <f>D138+D143</f>
        <v>318.88051999999993</v>
      </c>
      <c r="F144" s="279">
        <v>30</v>
      </c>
      <c r="G144" s="9">
        <v>3435</v>
      </c>
      <c r="H144" s="279">
        <v>30</v>
      </c>
      <c r="I144" s="278">
        <f t="shared" si="17"/>
        <v>211089</v>
      </c>
      <c r="J144" s="34">
        <f t="shared" si="18"/>
        <v>6392</v>
      </c>
      <c r="K144" s="34">
        <f t="shared" si="16"/>
        <v>6392</v>
      </c>
      <c r="L144" s="8"/>
    </row>
    <row r="145" spans="1:12" x14ac:dyDescent="0.2">
      <c r="A145" s="4"/>
      <c r="B145" s="4"/>
      <c r="C145" s="591"/>
      <c r="D145" s="591"/>
      <c r="F145" s="279">
        <v>31</v>
      </c>
      <c r="G145" s="9">
        <v>3540</v>
      </c>
      <c r="H145" s="279">
        <v>31</v>
      </c>
      <c r="I145" s="278">
        <f t="shared" si="17"/>
        <v>217481</v>
      </c>
      <c r="J145" s="34">
        <f t="shared" si="18"/>
        <v>6392</v>
      </c>
      <c r="K145" s="34">
        <f t="shared" si="16"/>
        <v>6392</v>
      </c>
      <c r="L145" s="8"/>
    </row>
    <row r="146" spans="1:12" x14ac:dyDescent="0.2">
      <c r="A146" s="603" t="s">
        <v>134</v>
      </c>
      <c r="B146" s="603"/>
      <c r="C146" s="592">
        <v>111.2</v>
      </c>
      <c r="D146" s="592">
        <v>19.920000000000002</v>
      </c>
      <c r="F146" s="279">
        <v>32</v>
      </c>
      <c r="G146" s="9">
        <v>3645</v>
      </c>
      <c r="H146" s="279">
        <v>32</v>
      </c>
      <c r="I146" s="278">
        <f t="shared" si="17"/>
        <v>223873</v>
      </c>
      <c r="J146" s="34">
        <f t="shared" si="18"/>
        <v>6392</v>
      </c>
      <c r="K146" s="34">
        <f t="shared" si="16"/>
        <v>6392</v>
      </c>
      <c r="L146" s="8"/>
    </row>
    <row r="147" spans="1:12" x14ac:dyDescent="0.2">
      <c r="A147" s="603" t="s">
        <v>135</v>
      </c>
      <c r="B147" s="603"/>
      <c r="C147" s="597" t="s">
        <v>156</v>
      </c>
      <c r="D147" s="597" t="s">
        <v>156</v>
      </c>
      <c r="F147" s="279">
        <v>33</v>
      </c>
      <c r="G147" s="9">
        <v>3750</v>
      </c>
      <c r="H147" s="279">
        <v>33</v>
      </c>
      <c r="I147" s="278">
        <f t="shared" si="17"/>
        <v>230265</v>
      </c>
      <c r="J147" s="34">
        <f t="shared" si="18"/>
        <v>6392</v>
      </c>
      <c r="K147" s="34">
        <f t="shared" si="16"/>
        <v>6392</v>
      </c>
      <c r="L147" s="8"/>
    </row>
    <row r="148" spans="1:12" x14ac:dyDescent="0.2">
      <c r="F148" s="279">
        <v>34</v>
      </c>
      <c r="G148" s="9">
        <v>3855</v>
      </c>
      <c r="H148" s="279">
        <v>34</v>
      </c>
      <c r="I148" s="278">
        <f t="shared" si="17"/>
        <v>236657</v>
      </c>
      <c r="J148" s="34">
        <f t="shared" si="18"/>
        <v>6392</v>
      </c>
      <c r="K148" s="34">
        <f t="shared" si="16"/>
        <v>6392</v>
      </c>
      <c r="L148" s="8"/>
    </row>
    <row r="149" spans="1:12" x14ac:dyDescent="0.2">
      <c r="F149" s="279">
        <v>35</v>
      </c>
      <c r="G149" s="9">
        <v>3960</v>
      </c>
      <c r="H149" s="279">
        <v>35</v>
      </c>
      <c r="I149" s="278">
        <f t="shared" si="17"/>
        <v>243049</v>
      </c>
      <c r="J149" s="34">
        <f t="shared" si="18"/>
        <v>6392</v>
      </c>
      <c r="K149" s="34">
        <f t="shared" si="16"/>
        <v>6392</v>
      </c>
      <c r="L149" s="8"/>
    </row>
    <row r="150" spans="1:12" x14ac:dyDescent="0.2">
      <c r="F150" s="9">
        <v>36</v>
      </c>
      <c r="G150" s="9">
        <v>4065</v>
      </c>
      <c r="H150" s="9">
        <v>36</v>
      </c>
      <c r="I150" s="278">
        <f t="shared" si="17"/>
        <v>249441</v>
      </c>
      <c r="J150" s="34">
        <f t="shared" si="18"/>
        <v>6392</v>
      </c>
      <c r="K150" s="34">
        <f t="shared" si="16"/>
        <v>6392</v>
      </c>
      <c r="L150" s="8"/>
    </row>
    <row r="151" spans="1:12" x14ac:dyDescent="0.2">
      <c r="F151" s="9">
        <v>37</v>
      </c>
      <c r="G151" s="9">
        <v>4170</v>
      </c>
      <c r="H151" s="9">
        <v>37</v>
      </c>
      <c r="I151" s="278">
        <f>+I150+K151</f>
        <v>255833</v>
      </c>
      <c r="J151" s="34">
        <f t="shared" si="18"/>
        <v>6392</v>
      </c>
      <c r="K151" s="34">
        <f t="shared" si="16"/>
        <v>6392</v>
      </c>
      <c r="L151" s="8"/>
    </row>
    <row r="152" spans="1:12" x14ac:dyDescent="0.2">
      <c r="C152" s="287"/>
      <c r="F152" s="9">
        <v>38</v>
      </c>
      <c r="G152" s="9">
        <v>4275</v>
      </c>
      <c r="H152" s="9">
        <v>38</v>
      </c>
      <c r="I152" s="278">
        <f t="shared" ref="I152:I159" si="19">+I151+K152</f>
        <v>262225</v>
      </c>
      <c r="J152" s="34">
        <f t="shared" si="18"/>
        <v>6392</v>
      </c>
      <c r="K152" s="34">
        <f t="shared" si="16"/>
        <v>6392</v>
      </c>
      <c r="L152" s="8"/>
    </row>
    <row r="153" spans="1:12" x14ac:dyDescent="0.2">
      <c r="F153" s="9">
        <v>39</v>
      </c>
      <c r="G153" s="9">
        <v>4380</v>
      </c>
      <c r="H153" s="9">
        <v>39</v>
      </c>
      <c r="I153" s="278">
        <f t="shared" si="19"/>
        <v>268617</v>
      </c>
      <c r="J153" s="34">
        <f t="shared" si="18"/>
        <v>6392</v>
      </c>
      <c r="K153" s="34">
        <f t="shared" si="16"/>
        <v>6392</v>
      </c>
      <c r="L153" s="8"/>
    </row>
    <row r="154" spans="1:12" x14ac:dyDescent="0.2">
      <c r="F154" s="9">
        <v>40</v>
      </c>
      <c r="G154" s="9">
        <v>4485</v>
      </c>
      <c r="H154" s="9">
        <v>40</v>
      </c>
      <c r="I154" s="278">
        <f t="shared" si="19"/>
        <v>275009</v>
      </c>
      <c r="J154" s="34">
        <f t="shared" si="18"/>
        <v>6392</v>
      </c>
      <c r="K154" s="34">
        <f t="shared" si="16"/>
        <v>6392</v>
      </c>
      <c r="L154" s="8"/>
    </row>
    <row r="155" spans="1:12" x14ac:dyDescent="0.2">
      <c r="F155" s="9">
        <v>41</v>
      </c>
      <c r="G155" s="9">
        <v>4590</v>
      </c>
      <c r="H155" s="9">
        <v>41</v>
      </c>
      <c r="I155" s="278">
        <f t="shared" si="19"/>
        <v>281401</v>
      </c>
      <c r="J155" s="34">
        <f t="shared" si="18"/>
        <v>6392</v>
      </c>
      <c r="K155" s="34">
        <f t="shared" si="16"/>
        <v>6392</v>
      </c>
      <c r="L155" s="8"/>
    </row>
    <row r="156" spans="1:12" x14ac:dyDescent="0.2">
      <c r="F156" s="9">
        <v>42</v>
      </c>
      <c r="G156" s="9">
        <v>4695</v>
      </c>
      <c r="H156" s="9">
        <v>42</v>
      </c>
      <c r="I156" s="278">
        <f t="shared" si="19"/>
        <v>287793</v>
      </c>
      <c r="J156" s="34">
        <f t="shared" si="18"/>
        <v>6392</v>
      </c>
      <c r="K156" s="34">
        <f t="shared" si="16"/>
        <v>6392</v>
      </c>
      <c r="L156" s="8"/>
    </row>
    <row r="157" spans="1:12" x14ac:dyDescent="0.2">
      <c r="F157" s="9">
        <v>43</v>
      </c>
      <c r="G157" s="9">
        <v>4800</v>
      </c>
      <c r="H157" s="9">
        <v>43</v>
      </c>
      <c r="I157" s="278">
        <f t="shared" si="19"/>
        <v>294185</v>
      </c>
      <c r="J157" s="34">
        <f t="shared" si="18"/>
        <v>6392</v>
      </c>
      <c r="K157" s="34">
        <f t="shared" si="16"/>
        <v>6392</v>
      </c>
      <c r="L157" s="8"/>
    </row>
    <row r="158" spans="1:12" x14ac:dyDescent="0.2">
      <c r="F158" s="9">
        <v>44</v>
      </c>
      <c r="G158" s="9">
        <v>4905</v>
      </c>
      <c r="H158" s="9">
        <v>44</v>
      </c>
      <c r="I158" s="278">
        <f t="shared" si="19"/>
        <v>300577</v>
      </c>
      <c r="J158" s="34">
        <f t="shared" si="18"/>
        <v>6392</v>
      </c>
      <c r="K158" s="34">
        <f t="shared" si="16"/>
        <v>6392</v>
      </c>
      <c r="L158" s="8"/>
    </row>
    <row r="159" spans="1:12" x14ac:dyDescent="0.2">
      <c r="F159" s="9">
        <v>45</v>
      </c>
      <c r="G159" s="9">
        <v>5010</v>
      </c>
      <c r="H159" s="9">
        <v>45</v>
      </c>
      <c r="I159" s="278">
        <f t="shared" si="19"/>
        <v>306969</v>
      </c>
      <c r="J159" s="34">
        <f t="shared" si="18"/>
        <v>6392</v>
      </c>
      <c r="K159" s="34">
        <f t="shared" si="16"/>
        <v>6392</v>
      </c>
      <c r="L159" s="8"/>
    </row>
    <row r="160" spans="1:12" x14ac:dyDescent="0.2">
      <c r="F160" s="9">
        <v>46</v>
      </c>
      <c r="G160" s="9">
        <v>5115</v>
      </c>
      <c r="H160" s="9">
        <v>46</v>
      </c>
      <c r="I160" s="278">
        <f>+I159+K160</f>
        <v>313361</v>
      </c>
      <c r="J160" s="34">
        <f>+I160-I159</f>
        <v>6392</v>
      </c>
      <c r="K160" s="34">
        <f>K159</f>
        <v>6392</v>
      </c>
      <c r="L160" s="8"/>
    </row>
    <row r="161" spans="1:15" x14ac:dyDescent="0.2">
      <c r="F161" s="9">
        <v>47</v>
      </c>
      <c r="G161" s="9">
        <v>5220</v>
      </c>
      <c r="H161" s="9">
        <v>47</v>
      </c>
      <c r="I161" s="278">
        <f>+I160+K161</f>
        <v>319753</v>
      </c>
      <c r="J161" s="34">
        <f>+I161-I160</f>
        <v>6392</v>
      </c>
      <c r="K161" s="34">
        <f>K160</f>
        <v>6392</v>
      </c>
      <c r="L161" s="8"/>
    </row>
    <row r="162" spans="1:15" x14ac:dyDescent="0.2">
      <c r="F162" s="9">
        <v>48</v>
      </c>
      <c r="G162" s="9">
        <v>5325</v>
      </c>
      <c r="H162" s="9">
        <v>48</v>
      </c>
      <c r="I162" s="278">
        <f>+I161+K162</f>
        <v>326145</v>
      </c>
      <c r="J162" s="34">
        <f>+I162-I161</f>
        <v>6392</v>
      </c>
      <c r="K162" s="34">
        <f>K161</f>
        <v>6392</v>
      </c>
      <c r="L162" s="8"/>
    </row>
    <row r="163" spans="1:15" x14ac:dyDescent="0.2">
      <c r="F163" s="9">
        <v>49</v>
      </c>
      <c r="G163" s="9">
        <v>5430</v>
      </c>
      <c r="H163" s="9">
        <v>49</v>
      </c>
      <c r="I163" s="278">
        <f>+I162+K163</f>
        <v>332537</v>
      </c>
      <c r="J163" s="34">
        <f>+I163-I162</f>
        <v>6392</v>
      </c>
      <c r="K163" s="34">
        <f>K162</f>
        <v>6392</v>
      </c>
      <c r="L163" s="8"/>
    </row>
    <row r="164" spans="1:15" x14ac:dyDescent="0.2">
      <c r="F164" s="9">
        <v>50</v>
      </c>
      <c r="G164" s="9">
        <v>5535</v>
      </c>
      <c r="H164" s="9">
        <v>50</v>
      </c>
      <c r="I164" s="278">
        <f>+I163+K164</f>
        <v>338929</v>
      </c>
      <c r="J164" s="34">
        <f>+I164-I163</f>
        <v>6392</v>
      </c>
      <c r="K164" s="34">
        <f>K163</f>
        <v>6392</v>
      </c>
      <c r="L164" s="8"/>
    </row>
    <row r="167" spans="1:15" x14ac:dyDescent="0.2">
      <c r="A167" s="595"/>
    </row>
    <row r="168" spans="1:15" x14ac:dyDescent="0.2">
      <c r="A168" s="2" t="s">
        <v>262</v>
      </c>
      <c r="C168" s="588">
        <v>-6.1999999999999998E-3</v>
      </c>
    </row>
    <row r="169" spans="1:15" x14ac:dyDescent="0.2">
      <c r="A169" s="4" t="s">
        <v>7</v>
      </c>
      <c r="B169" s="325"/>
      <c r="C169" s="739">
        <v>2015</v>
      </c>
      <c r="D169" s="740"/>
      <c r="F169" s="325" t="s">
        <v>76</v>
      </c>
      <c r="G169" s="325" t="s">
        <v>59</v>
      </c>
      <c r="H169" s="325" t="s">
        <v>76</v>
      </c>
      <c r="I169" s="325" t="s">
        <v>36</v>
      </c>
      <c r="J169" s="325" t="s">
        <v>77</v>
      </c>
      <c r="K169" s="22" t="s">
        <v>78</v>
      </c>
      <c r="L169" s="325" t="s">
        <v>136</v>
      </c>
    </row>
    <row r="170" spans="1:15" x14ac:dyDescent="0.2">
      <c r="A170" s="325" t="s">
        <v>8</v>
      </c>
      <c r="B170" s="325"/>
      <c r="C170" s="16"/>
      <c r="F170" s="325" t="s">
        <v>58</v>
      </c>
      <c r="G170" s="325" t="s">
        <v>60</v>
      </c>
      <c r="H170" s="325"/>
      <c r="I170" s="325"/>
      <c r="J170" s="325"/>
      <c r="K170" s="325"/>
      <c r="L170" s="22" t="s">
        <v>79</v>
      </c>
      <c r="N170" s="20" t="s">
        <v>75</v>
      </c>
      <c r="O170" s="325"/>
    </row>
    <row r="171" spans="1:15" x14ac:dyDescent="0.2">
      <c r="A171" s="325" t="s">
        <v>9</v>
      </c>
      <c r="B171" s="325"/>
      <c r="C171" s="592">
        <v>1389.79</v>
      </c>
      <c r="D171" s="592">
        <v>27.97</v>
      </c>
      <c r="F171" s="9">
        <v>0</v>
      </c>
      <c r="G171" s="9">
        <v>0</v>
      </c>
      <c r="H171" s="9">
        <v>0</v>
      </c>
      <c r="I171" s="566">
        <v>0</v>
      </c>
      <c r="J171" s="8"/>
      <c r="K171" s="8"/>
      <c r="L171" s="8"/>
      <c r="N171" s="21" t="s">
        <v>33</v>
      </c>
      <c r="O171" s="596">
        <v>0.05</v>
      </c>
    </row>
    <row r="172" spans="1:15" x14ac:dyDescent="0.2">
      <c r="A172" s="325" t="s">
        <v>10</v>
      </c>
      <c r="B172" s="325"/>
      <c r="C172" s="592">
        <v>46.83</v>
      </c>
      <c r="D172" s="592">
        <v>0.46</v>
      </c>
      <c r="F172" s="279">
        <v>2</v>
      </c>
      <c r="G172" s="9">
        <v>375</v>
      </c>
      <c r="H172" s="279">
        <v>2</v>
      </c>
      <c r="I172" s="594">
        <v>23917</v>
      </c>
      <c r="J172" s="8"/>
      <c r="K172" s="8"/>
      <c r="L172" s="8"/>
      <c r="N172" s="325" t="s">
        <v>34</v>
      </c>
      <c r="O172" s="596">
        <v>3.4299999999999997E-2</v>
      </c>
    </row>
    <row r="173" spans="1:15" x14ac:dyDescent="0.2">
      <c r="A173" s="325" t="s">
        <v>11</v>
      </c>
      <c r="B173" s="325"/>
      <c r="C173" s="592">
        <v>0</v>
      </c>
      <c r="D173" s="592">
        <v>19.5</v>
      </c>
      <c r="F173" s="279">
        <v>3</v>
      </c>
      <c r="G173" s="9">
        <v>495</v>
      </c>
      <c r="H173" s="279">
        <v>3</v>
      </c>
      <c r="I173" s="594">
        <v>30939</v>
      </c>
      <c r="J173" s="34">
        <f>+I173-I172</f>
        <v>7022</v>
      </c>
      <c r="K173" s="8"/>
      <c r="L173" s="8"/>
      <c r="N173" s="325" t="s">
        <v>35</v>
      </c>
      <c r="O173" s="596">
        <v>1.7899999999999999E-2</v>
      </c>
    </row>
    <row r="174" spans="1:15" x14ac:dyDescent="0.2">
      <c r="A174" s="325" t="s">
        <v>12</v>
      </c>
      <c r="B174" s="4"/>
      <c r="C174" s="589"/>
      <c r="D174" s="589"/>
      <c r="F174" s="279">
        <v>4</v>
      </c>
      <c r="G174" s="9">
        <v>650</v>
      </c>
      <c r="H174" s="279">
        <v>4</v>
      </c>
      <c r="I174" s="594">
        <v>40010</v>
      </c>
      <c r="J174" s="34">
        <f t="shared" ref="J174:J183" si="20">+I174-I173</f>
        <v>9071</v>
      </c>
      <c r="K174" s="8"/>
      <c r="L174" s="8"/>
      <c r="N174" s="325" t="s">
        <v>61</v>
      </c>
      <c r="O174" s="596">
        <v>1.5642</v>
      </c>
    </row>
    <row r="175" spans="1:15" x14ac:dyDescent="0.2">
      <c r="A175" s="325" t="s">
        <v>13</v>
      </c>
      <c r="B175" s="325"/>
      <c r="C175" s="592">
        <v>89.9</v>
      </c>
      <c r="D175" s="592">
        <v>1.57</v>
      </c>
      <c r="F175" s="279">
        <v>5</v>
      </c>
      <c r="G175" s="9">
        <v>785</v>
      </c>
      <c r="H175" s="279">
        <v>5</v>
      </c>
      <c r="I175" s="594">
        <v>47910</v>
      </c>
      <c r="J175" s="34">
        <f t="shared" si="20"/>
        <v>7900</v>
      </c>
      <c r="K175" s="8"/>
      <c r="L175" s="8"/>
      <c r="N175" s="325" t="s">
        <v>62</v>
      </c>
      <c r="O175" s="596">
        <v>1.15E-2</v>
      </c>
    </row>
    <row r="176" spans="1:15" x14ac:dyDescent="0.2">
      <c r="A176" s="325" t="s">
        <v>14</v>
      </c>
      <c r="B176" s="325"/>
      <c r="C176" s="592">
        <v>31.54</v>
      </c>
      <c r="D176" s="592">
        <v>6.54</v>
      </c>
      <c r="F176" s="279">
        <v>6</v>
      </c>
      <c r="G176" s="9">
        <v>875</v>
      </c>
      <c r="H176" s="279">
        <v>6</v>
      </c>
      <c r="I176" s="594">
        <v>53177</v>
      </c>
      <c r="J176" s="34">
        <f t="shared" si="20"/>
        <v>5267</v>
      </c>
      <c r="K176" s="8"/>
      <c r="L176" s="8"/>
    </row>
    <row r="177" spans="1:12" x14ac:dyDescent="0.2">
      <c r="A177" s="325" t="s">
        <v>24</v>
      </c>
      <c r="B177" s="325"/>
      <c r="C177" s="592">
        <v>41.15</v>
      </c>
      <c r="D177" s="592">
        <v>0.45</v>
      </c>
      <c r="F177" s="279">
        <v>7</v>
      </c>
      <c r="G177" s="9">
        <v>980</v>
      </c>
      <c r="H177" s="279">
        <v>7</v>
      </c>
      <c r="I177" s="278">
        <f t="shared" ref="I177:I183" si="21">+I176+K177</f>
        <v>59322</v>
      </c>
      <c r="J177" s="34">
        <f t="shared" si="20"/>
        <v>6145</v>
      </c>
      <c r="K177" s="592">
        <v>6145</v>
      </c>
      <c r="L177" s="8"/>
    </row>
    <row r="178" spans="1:12" x14ac:dyDescent="0.2">
      <c r="A178" s="325" t="s">
        <v>131</v>
      </c>
      <c r="B178" s="325"/>
      <c r="C178" s="592">
        <v>372.45</v>
      </c>
      <c r="D178" s="592">
        <v>2.0299999999999998</v>
      </c>
      <c r="F178" s="279">
        <v>8</v>
      </c>
      <c r="G178" s="9">
        <v>1085</v>
      </c>
      <c r="H178" s="279">
        <v>8</v>
      </c>
      <c r="I178" s="278">
        <f t="shared" si="21"/>
        <v>65467</v>
      </c>
      <c r="J178" s="34">
        <f t="shared" si="20"/>
        <v>6145</v>
      </c>
      <c r="K178" s="34">
        <f t="shared" ref="K178:K215" si="22">K177</f>
        <v>6145</v>
      </c>
      <c r="L178" s="8"/>
    </row>
    <row r="179" spans="1:12" x14ac:dyDescent="0.2">
      <c r="A179" s="325"/>
      <c r="B179" s="325"/>
      <c r="C179" s="590"/>
      <c r="D179" s="590"/>
      <c r="F179" s="279">
        <v>9</v>
      </c>
      <c r="G179" s="9">
        <v>1190</v>
      </c>
      <c r="H179" s="279">
        <v>9</v>
      </c>
      <c r="I179" s="278">
        <f t="shared" si="21"/>
        <v>71612</v>
      </c>
      <c r="J179" s="34">
        <f t="shared" si="20"/>
        <v>6145</v>
      </c>
      <c r="K179" s="34">
        <f t="shared" si="22"/>
        <v>6145</v>
      </c>
      <c r="L179" s="8"/>
    </row>
    <row r="180" spans="1:12" x14ac:dyDescent="0.2">
      <c r="A180" s="4" t="s">
        <v>15</v>
      </c>
      <c r="B180" s="325"/>
      <c r="C180" s="591"/>
      <c r="D180" s="591"/>
      <c r="F180" s="279">
        <v>10</v>
      </c>
      <c r="G180" s="9">
        <v>1295</v>
      </c>
      <c r="H180" s="279">
        <v>10</v>
      </c>
      <c r="I180" s="278">
        <f t="shared" si="21"/>
        <v>77757</v>
      </c>
      <c r="J180" s="34">
        <f t="shared" si="20"/>
        <v>6145</v>
      </c>
      <c r="K180" s="34">
        <f t="shared" si="22"/>
        <v>6145</v>
      </c>
      <c r="L180" s="8"/>
    </row>
    <row r="181" spans="1:12" x14ac:dyDescent="0.2">
      <c r="A181" s="325" t="s">
        <v>26</v>
      </c>
      <c r="B181" s="325"/>
      <c r="C181" s="591"/>
      <c r="D181" s="591"/>
      <c r="F181" s="279">
        <v>11</v>
      </c>
      <c r="G181" s="9">
        <v>1400</v>
      </c>
      <c r="H181" s="279">
        <v>11</v>
      </c>
      <c r="I181" s="278">
        <f t="shared" si="21"/>
        <v>83902</v>
      </c>
      <c r="J181" s="34">
        <f t="shared" si="20"/>
        <v>6145</v>
      </c>
      <c r="K181" s="34">
        <f t="shared" si="22"/>
        <v>6145</v>
      </c>
      <c r="L181" s="8"/>
    </row>
    <row r="182" spans="1:12" x14ac:dyDescent="0.2">
      <c r="A182" s="325" t="s">
        <v>16</v>
      </c>
      <c r="B182" s="325"/>
      <c r="C182" s="592">
        <v>9.83</v>
      </c>
      <c r="D182" s="592">
        <v>1.85</v>
      </c>
      <c r="F182" s="279">
        <v>12</v>
      </c>
      <c r="G182" s="9">
        <v>1505</v>
      </c>
      <c r="H182" s="279">
        <v>12</v>
      </c>
      <c r="I182" s="278">
        <f t="shared" si="21"/>
        <v>90047</v>
      </c>
      <c r="J182" s="34">
        <f t="shared" si="20"/>
        <v>6145</v>
      </c>
      <c r="K182" s="34">
        <f t="shared" si="22"/>
        <v>6145</v>
      </c>
      <c r="L182" s="8"/>
    </row>
    <row r="183" spans="1:12" x14ac:dyDescent="0.2">
      <c r="A183" s="325" t="s">
        <v>25</v>
      </c>
      <c r="B183" s="325"/>
      <c r="C183" s="592">
        <v>9.83</v>
      </c>
      <c r="D183" s="592">
        <v>1.03</v>
      </c>
      <c r="F183" s="279">
        <v>13</v>
      </c>
      <c r="G183" s="9">
        <v>1610</v>
      </c>
      <c r="H183" s="279">
        <v>13</v>
      </c>
      <c r="I183" s="278">
        <f t="shared" si="21"/>
        <v>96192</v>
      </c>
      <c r="J183" s="34">
        <f t="shared" si="20"/>
        <v>6145</v>
      </c>
      <c r="K183" s="34">
        <f t="shared" si="22"/>
        <v>6145</v>
      </c>
      <c r="L183" s="8"/>
    </row>
    <row r="184" spans="1:12" x14ac:dyDescent="0.2">
      <c r="A184" s="325" t="s">
        <v>17</v>
      </c>
      <c r="B184" s="325"/>
      <c r="C184" s="592">
        <v>27.4</v>
      </c>
      <c r="D184" s="592">
        <v>0.14000000000000001</v>
      </c>
      <c r="F184" s="279">
        <v>14</v>
      </c>
      <c r="G184" s="9">
        <v>1755</v>
      </c>
      <c r="H184" s="279">
        <v>14</v>
      </c>
      <c r="I184" s="278">
        <f>+I183+K184+L184</f>
        <v>104678</v>
      </c>
      <c r="J184" s="34">
        <f>+I184-I183</f>
        <v>8486</v>
      </c>
      <c r="K184" s="34">
        <f t="shared" si="22"/>
        <v>6145</v>
      </c>
      <c r="L184" s="592">
        <v>2341</v>
      </c>
    </row>
    <row r="185" spans="1:12" x14ac:dyDescent="0.2">
      <c r="A185" s="325" t="s">
        <v>18</v>
      </c>
      <c r="B185" s="325"/>
      <c r="C185" s="592">
        <v>101.11</v>
      </c>
      <c r="D185" s="592">
        <v>4.22</v>
      </c>
      <c r="F185" s="279">
        <v>15</v>
      </c>
      <c r="G185" s="9">
        <v>1860</v>
      </c>
      <c r="H185" s="279">
        <v>15</v>
      </c>
      <c r="I185" s="278">
        <f t="shared" ref="I185:I206" si="23">+I184+K185</f>
        <v>110823</v>
      </c>
      <c r="J185" s="34">
        <f t="shared" ref="J185:J215" si="24">+I185-I184</f>
        <v>6145</v>
      </c>
      <c r="K185" s="34">
        <f t="shared" si="22"/>
        <v>6145</v>
      </c>
      <c r="L185" s="8"/>
    </row>
    <row r="186" spans="1:12" x14ac:dyDescent="0.2">
      <c r="A186" s="325" t="s">
        <v>85</v>
      </c>
      <c r="B186" s="325"/>
      <c r="C186" s="593">
        <v>295.01</v>
      </c>
      <c r="D186" s="593">
        <f>8.95+10.65</f>
        <v>19.600000000000001</v>
      </c>
      <c r="F186" s="279">
        <v>16</v>
      </c>
      <c r="G186" s="9">
        <v>1965</v>
      </c>
      <c r="H186" s="279">
        <v>16</v>
      </c>
      <c r="I186" s="278">
        <f t="shared" si="23"/>
        <v>116968</v>
      </c>
      <c r="J186" s="34">
        <f t="shared" si="24"/>
        <v>6145</v>
      </c>
      <c r="K186" s="34">
        <f t="shared" si="22"/>
        <v>6145</v>
      </c>
      <c r="L186" s="8"/>
    </row>
    <row r="187" spans="1:12" x14ac:dyDescent="0.2">
      <c r="A187" s="325" t="s">
        <v>86</v>
      </c>
      <c r="B187" s="325"/>
      <c r="C187" s="593">
        <v>0</v>
      </c>
      <c r="D187" s="593">
        <v>24.96</v>
      </c>
      <c r="F187" s="279">
        <v>17</v>
      </c>
      <c r="G187" s="9">
        <v>2070</v>
      </c>
      <c r="H187" s="279">
        <v>17</v>
      </c>
      <c r="I187" s="278">
        <f t="shared" si="23"/>
        <v>123113</v>
      </c>
      <c r="J187" s="34">
        <f t="shared" si="24"/>
        <v>6145</v>
      </c>
      <c r="K187" s="34">
        <f t="shared" si="22"/>
        <v>6145</v>
      </c>
      <c r="L187" s="8"/>
    </row>
    <row r="188" spans="1:12" x14ac:dyDescent="0.2">
      <c r="A188" s="325" t="s">
        <v>132</v>
      </c>
      <c r="B188" s="325"/>
      <c r="C188" s="593">
        <v>509.14</v>
      </c>
      <c r="D188" s="593">
        <f>2.68+0.01</f>
        <v>2.69</v>
      </c>
      <c r="F188" s="279">
        <v>18</v>
      </c>
      <c r="G188" s="9">
        <v>2175</v>
      </c>
      <c r="H188" s="279">
        <v>18</v>
      </c>
      <c r="I188" s="278">
        <f t="shared" si="23"/>
        <v>129258</v>
      </c>
      <c r="J188" s="34">
        <f t="shared" si="24"/>
        <v>6145</v>
      </c>
      <c r="K188" s="34">
        <f t="shared" si="22"/>
        <v>6145</v>
      </c>
      <c r="L188" s="8"/>
    </row>
    <row r="189" spans="1:12" x14ac:dyDescent="0.2">
      <c r="A189" s="325" t="s">
        <v>19</v>
      </c>
      <c r="B189" s="325"/>
      <c r="C189" s="592">
        <v>118.1</v>
      </c>
      <c r="D189" s="592">
        <v>0.22</v>
      </c>
      <c r="F189" s="279">
        <v>19</v>
      </c>
      <c r="G189" s="9">
        <v>2280</v>
      </c>
      <c r="H189" s="279">
        <v>19</v>
      </c>
      <c r="I189" s="278">
        <f t="shared" si="23"/>
        <v>135403</v>
      </c>
      <c r="J189" s="34">
        <f t="shared" si="24"/>
        <v>6145</v>
      </c>
      <c r="K189" s="34">
        <f t="shared" si="22"/>
        <v>6145</v>
      </c>
      <c r="L189" s="8"/>
    </row>
    <row r="190" spans="1:12" x14ac:dyDescent="0.2">
      <c r="A190" s="325" t="s">
        <v>80</v>
      </c>
      <c r="B190" s="325"/>
      <c r="C190" s="593">
        <v>1786.93</v>
      </c>
      <c r="D190" s="593">
        <v>45.61</v>
      </c>
      <c r="F190" s="279">
        <v>20</v>
      </c>
      <c r="G190" s="9">
        <v>2385</v>
      </c>
      <c r="H190" s="279">
        <v>20</v>
      </c>
      <c r="I190" s="278">
        <f t="shared" si="23"/>
        <v>141548</v>
      </c>
      <c r="J190" s="34">
        <f t="shared" si="24"/>
        <v>6145</v>
      </c>
      <c r="K190" s="34">
        <f t="shared" si="22"/>
        <v>6145</v>
      </c>
      <c r="L190" s="8"/>
    </row>
    <row r="191" spans="1:12" x14ac:dyDescent="0.2">
      <c r="A191" s="325" t="s">
        <v>82</v>
      </c>
      <c r="B191" s="325"/>
      <c r="C191" s="593">
        <v>1861.06</v>
      </c>
      <c r="D191" s="593">
        <f>60.75-0.01</f>
        <v>60.74</v>
      </c>
      <c r="F191" s="279">
        <v>21</v>
      </c>
      <c r="G191" s="9">
        <v>2490</v>
      </c>
      <c r="H191" s="279">
        <v>21</v>
      </c>
      <c r="I191" s="278">
        <f t="shared" si="23"/>
        <v>147693</v>
      </c>
      <c r="J191" s="34">
        <f t="shared" si="24"/>
        <v>6145</v>
      </c>
      <c r="K191" s="34">
        <f t="shared" si="22"/>
        <v>6145</v>
      </c>
      <c r="L191" s="8"/>
    </row>
    <row r="192" spans="1:12" x14ac:dyDescent="0.2">
      <c r="A192" s="325" t="s">
        <v>81</v>
      </c>
      <c r="B192" s="325"/>
      <c r="C192" s="593">
        <v>1814.23</v>
      </c>
      <c r="D192" s="593">
        <v>91.66</v>
      </c>
      <c r="F192" s="279">
        <v>22</v>
      </c>
      <c r="G192" s="9">
        <v>2595</v>
      </c>
      <c r="H192" s="279">
        <v>22</v>
      </c>
      <c r="I192" s="278">
        <f t="shared" si="23"/>
        <v>153838</v>
      </c>
      <c r="J192" s="34">
        <f t="shared" si="24"/>
        <v>6145</v>
      </c>
      <c r="K192" s="34">
        <f t="shared" si="22"/>
        <v>6145</v>
      </c>
      <c r="L192" s="8"/>
    </row>
    <row r="193" spans="1:12" x14ac:dyDescent="0.2">
      <c r="A193" s="325" t="s">
        <v>20</v>
      </c>
      <c r="B193" s="325"/>
      <c r="C193" s="592">
        <v>895.72</v>
      </c>
      <c r="D193" s="592">
        <v>15.63</v>
      </c>
      <c r="F193" s="279">
        <v>23</v>
      </c>
      <c r="G193" s="9">
        <v>2700</v>
      </c>
      <c r="H193" s="279">
        <v>23</v>
      </c>
      <c r="I193" s="278">
        <f t="shared" si="23"/>
        <v>159983</v>
      </c>
      <c r="J193" s="34">
        <f t="shared" si="24"/>
        <v>6145</v>
      </c>
      <c r="K193" s="34">
        <f t="shared" si="22"/>
        <v>6145</v>
      </c>
      <c r="L193" s="8"/>
    </row>
    <row r="194" spans="1:12" x14ac:dyDescent="0.2">
      <c r="A194" s="325"/>
      <c r="B194" s="4"/>
      <c r="C194" s="591"/>
      <c r="D194" s="591"/>
      <c r="F194" s="279">
        <v>24</v>
      </c>
      <c r="G194" s="9">
        <v>2805</v>
      </c>
      <c r="H194" s="279">
        <v>24</v>
      </c>
      <c r="I194" s="278">
        <f t="shared" si="23"/>
        <v>166128</v>
      </c>
      <c r="J194" s="34">
        <f t="shared" si="24"/>
        <v>6145</v>
      </c>
      <c r="K194" s="34">
        <f t="shared" si="22"/>
        <v>6145</v>
      </c>
      <c r="L194" s="8"/>
    </row>
    <row r="195" spans="1:12" x14ac:dyDescent="0.2">
      <c r="A195" s="325" t="s">
        <v>27</v>
      </c>
      <c r="B195" s="325"/>
      <c r="C195" s="590"/>
      <c r="D195" s="590"/>
      <c r="F195" s="279">
        <v>25</v>
      </c>
      <c r="G195" s="9">
        <v>2910</v>
      </c>
      <c r="H195" s="279">
        <v>25</v>
      </c>
      <c r="I195" s="278">
        <f t="shared" si="23"/>
        <v>172273</v>
      </c>
      <c r="J195" s="34">
        <f t="shared" si="24"/>
        <v>6145</v>
      </c>
      <c r="K195" s="34">
        <f t="shared" si="22"/>
        <v>6145</v>
      </c>
      <c r="L195" s="8"/>
    </row>
    <row r="196" spans="1:12" x14ac:dyDescent="0.2">
      <c r="A196" s="325" t="s">
        <v>21</v>
      </c>
      <c r="B196" s="325"/>
      <c r="C196" s="592">
        <v>3508.65</v>
      </c>
      <c r="D196" s="592">
        <v>20.51</v>
      </c>
      <c r="F196" s="279">
        <v>26</v>
      </c>
      <c r="G196" s="9">
        <v>3015</v>
      </c>
      <c r="H196" s="279">
        <v>26</v>
      </c>
      <c r="I196" s="278">
        <f t="shared" si="23"/>
        <v>178418</v>
      </c>
      <c r="J196" s="34">
        <f t="shared" si="24"/>
        <v>6145</v>
      </c>
      <c r="K196" s="34">
        <f t="shared" si="22"/>
        <v>6145</v>
      </c>
      <c r="L196" s="8"/>
    </row>
    <row r="197" spans="1:12" x14ac:dyDescent="0.2">
      <c r="A197" s="325" t="s">
        <v>22</v>
      </c>
      <c r="B197" s="325"/>
      <c r="C197" s="592">
        <v>520.16999999999996</v>
      </c>
      <c r="D197" s="592">
        <v>3.61</v>
      </c>
      <c r="F197" s="279">
        <v>27</v>
      </c>
      <c r="G197" s="9">
        <v>3120</v>
      </c>
      <c r="H197" s="279">
        <v>27</v>
      </c>
      <c r="I197" s="278">
        <f t="shared" si="23"/>
        <v>184563</v>
      </c>
      <c r="J197" s="34">
        <f t="shared" si="24"/>
        <v>6145</v>
      </c>
      <c r="K197" s="34">
        <f t="shared" si="22"/>
        <v>6145</v>
      </c>
      <c r="L197" s="8"/>
    </row>
    <row r="198" spans="1:12" x14ac:dyDescent="0.2">
      <c r="A198" s="325" t="s">
        <v>23</v>
      </c>
      <c r="B198" s="325"/>
      <c r="C198" s="592">
        <v>1937.4</v>
      </c>
      <c r="D198" s="592">
        <v>20.69</v>
      </c>
      <c r="F198" s="279">
        <v>28</v>
      </c>
      <c r="G198" s="9">
        <v>3225</v>
      </c>
      <c r="H198" s="279">
        <v>28</v>
      </c>
      <c r="I198" s="278">
        <f t="shared" si="23"/>
        <v>190708</v>
      </c>
      <c r="J198" s="34">
        <f t="shared" si="24"/>
        <v>6145</v>
      </c>
      <c r="K198" s="34">
        <f t="shared" si="22"/>
        <v>6145</v>
      </c>
      <c r="L198" s="8"/>
    </row>
    <row r="199" spans="1:12" x14ac:dyDescent="0.2">
      <c r="A199" s="4"/>
      <c r="B199" s="4"/>
      <c r="C199" s="591"/>
      <c r="D199" s="591"/>
      <c r="F199" s="279">
        <v>29</v>
      </c>
      <c r="G199" s="9">
        <v>3330</v>
      </c>
      <c r="H199" s="279">
        <v>29</v>
      </c>
      <c r="I199" s="278">
        <f t="shared" si="23"/>
        <v>196853</v>
      </c>
      <c r="J199" s="34">
        <f t="shared" si="24"/>
        <v>6145</v>
      </c>
      <c r="K199" s="34">
        <f t="shared" si="22"/>
        <v>6145</v>
      </c>
      <c r="L199" s="8"/>
    </row>
    <row r="200" spans="1:12" x14ac:dyDescent="0.2">
      <c r="A200" s="325" t="s">
        <v>133</v>
      </c>
      <c r="B200" s="325"/>
      <c r="C200" s="19">
        <v>13394.58</v>
      </c>
      <c r="D200" s="19">
        <v>313.16000000000003</v>
      </c>
      <c r="F200" s="279">
        <v>30</v>
      </c>
      <c r="G200" s="9">
        <v>3435</v>
      </c>
      <c r="H200" s="279">
        <v>30</v>
      </c>
      <c r="I200" s="278">
        <f t="shared" si="23"/>
        <v>202998</v>
      </c>
      <c r="J200" s="34">
        <f t="shared" si="24"/>
        <v>6145</v>
      </c>
      <c r="K200" s="34">
        <f t="shared" si="22"/>
        <v>6145</v>
      </c>
      <c r="L200" s="8"/>
    </row>
    <row r="201" spans="1:12" x14ac:dyDescent="0.2">
      <c r="A201" s="4"/>
      <c r="B201" s="4"/>
      <c r="C201" s="591"/>
      <c r="D201" s="591"/>
      <c r="F201" s="279">
        <v>31</v>
      </c>
      <c r="G201" s="9">
        <v>3540</v>
      </c>
      <c r="H201" s="279">
        <v>31</v>
      </c>
      <c r="I201" s="278">
        <f t="shared" si="23"/>
        <v>209143</v>
      </c>
      <c r="J201" s="34">
        <f t="shared" si="24"/>
        <v>6145</v>
      </c>
      <c r="K201" s="34">
        <f t="shared" si="22"/>
        <v>6145</v>
      </c>
      <c r="L201" s="8"/>
    </row>
    <row r="202" spans="1:12" x14ac:dyDescent="0.2">
      <c r="A202" s="325" t="s">
        <v>134</v>
      </c>
      <c r="B202" s="325"/>
      <c r="C202" s="592">
        <v>110.98</v>
      </c>
      <c r="D202" s="592">
        <v>19.88</v>
      </c>
      <c r="F202" s="279">
        <v>32</v>
      </c>
      <c r="G202" s="9">
        <v>3645</v>
      </c>
      <c r="H202" s="279">
        <v>32</v>
      </c>
      <c r="I202" s="278">
        <f t="shared" si="23"/>
        <v>215288</v>
      </c>
      <c r="J202" s="34">
        <f t="shared" si="24"/>
        <v>6145</v>
      </c>
      <c r="K202" s="34">
        <f t="shared" si="22"/>
        <v>6145</v>
      </c>
      <c r="L202" s="8"/>
    </row>
    <row r="203" spans="1:12" x14ac:dyDescent="0.2">
      <c r="A203" s="325" t="s">
        <v>135</v>
      </c>
      <c r="B203" s="325"/>
      <c r="C203" s="597" t="s">
        <v>156</v>
      </c>
      <c r="D203" s="597" t="s">
        <v>156</v>
      </c>
      <c r="F203" s="279">
        <v>33</v>
      </c>
      <c r="G203" s="9">
        <v>3750</v>
      </c>
      <c r="H203" s="279">
        <v>33</v>
      </c>
      <c r="I203" s="278">
        <f t="shared" si="23"/>
        <v>221433</v>
      </c>
      <c r="J203" s="34">
        <f t="shared" si="24"/>
        <v>6145</v>
      </c>
      <c r="K203" s="34">
        <f t="shared" si="22"/>
        <v>6145</v>
      </c>
      <c r="L203" s="8"/>
    </row>
    <row r="204" spans="1:12" x14ac:dyDescent="0.2">
      <c r="F204" s="279">
        <v>34</v>
      </c>
      <c r="G204" s="9">
        <v>3855</v>
      </c>
      <c r="H204" s="279">
        <v>34</v>
      </c>
      <c r="I204" s="278">
        <f t="shared" si="23"/>
        <v>227578</v>
      </c>
      <c r="J204" s="34">
        <f t="shared" si="24"/>
        <v>6145</v>
      </c>
      <c r="K204" s="34">
        <f t="shared" si="22"/>
        <v>6145</v>
      </c>
      <c r="L204" s="8"/>
    </row>
    <row r="205" spans="1:12" x14ac:dyDescent="0.2">
      <c r="F205" s="279">
        <v>35</v>
      </c>
      <c r="G205" s="9">
        <v>3960</v>
      </c>
      <c r="H205" s="279">
        <v>35</v>
      </c>
      <c r="I205" s="278">
        <f t="shared" si="23"/>
        <v>233723</v>
      </c>
      <c r="J205" s="34">
        <f t="shared" si="24"/>
        <v>6145</v>
      </c>
      <c r="K205" s="34">
        <f t="shared" si="22"/>
        <v>6145</v>
      </c>
      <c r="L205" s="8"/>
    </row>
    <row r="206" spans="1:12" x14ac:dyDescent="0.2">
      <c r="F206" s="9">
        <v>36</v>
      </c>
      <c r="G206" s="9">
        <v>4065</v>
      </c>
      <c r="H206" s="9">
        <v>36</v>
      </c>
      <c r="I206" s="278">
        <f t="shared" si="23"/>
        <v>239868</v>
      </c>
      <c r="J206" s="34">
        <f t="shared" si="24"/>
        <v>6145</v>
      </c>
      <c r="K206" s="34">
        <f t="shared" si="22"/>
        <v>6145</v>
      </c>
      <c r="L206" s="8"/>
    </row>
    <row r="207" spans="1:12" x14ac:dyDescent="0.2">
      <c r="F207" s="9">
        <v>37</v>
      </c>
      <c r="G207" s="9">
        <v>4170</v>
      </c>
      <c r="H207" s="9">
        <v>37</v>
      </c>
      <c r="I207" s="278">
        <f>+I206+K207</f>
        <v>246013</v>
      </c>
      <c r="J207" s="34">
        <f t="shared" si="24"/>
        <v>6145</v>
      </c>
      <c r="K207" s="34">
        <f t="shared" si="22"/>
        <v>6145</v>
      </c>
      <c r="L207" s="8"/>
    </row>
    <row r="208" spans="1:12" x14ac:dyDescent="0.2">
      <c r="C208" s="287"/>
      <c r="F208" s="9">
        <v>38</v>
      </c>
      <c r="G208" s="9">
        <v>4275</v>
      </c>
      <c r="H208" s="9">
        <v>38</v>
      </c>
      <c r="I208" s="278">
        <f t="shared" ref="I208:I215" si="25">+I207+K208</f>
        <v>252158</v>
      </c>
      <c r="J208" s="34">
        <f t="shared" si="24"/>
        <v>6145</v>
      </c>
      <c r="K208" s="34">
        <f t="shared" si="22"/>
        <v>6145</v>
      </c>
      <c r="L208" s="8"/>
    </row>
    <row r="209" spans="1:15" x14ac:dyDescent="0.2">
      <c r="F209" s="9">
        <v>39</v>
      </c>
      <c r="G209" s="9">
        <v>4380</v>
      </c>
      <c r="H209" s="9">
        <v>39</v>
      </c>
      <c r="I209" s="278">
        <f t="shared" si="25"/>
        <v>258303</v>
      </c>
      <c r="J209" s="34">
        <f t="shared" si="24"/>
        <v>6145</v>
      </c>
      <c r="K209" s="34">
        <f t="shared" si="22"/>
        <v>6145</v>
      </c>
      <c r="L209" s="8"/>
    </row>
    <row r="210" spans="1:15" x14ac:dyDescent="0.2">
      <c r="F210" s="9">
        <v>40</v>
      </c>
      <c r="G210" s="9">
        <v>4485</v>
      </c>
      <c r="H210" s="9">
        <v>40</v>
      </c>
      <c r="I210" s="278">
        <f t="shared" si="25"/>
        <v>264448</v>
      </c>
      <c r="J210" s="34">
        <f t="shared" si="24"/>
        <v>6145</v>
      </c>
      <c r="K210" s="34">
        <f t="shared" si="22"/>
        <v>6145</v>
      </c>
      <c r="L210" s="8"/>
    </row>
    <row r="211" spans="1:15" x14ac:dyDescent="0.2">
      <c r="F211" s="9">
        <v>41</v>
      </c>
      <c r="G211" s="9">
        <v>4590</v>
      </c>
      <c r="H211" s="9">
        <v>41</v>
      </c>
      <c r="I211" s="278">
        <f t="shared" si="25"/>
        <v>270593</v>
      </c>
      <c r="J211" s="34">
        <f t="shared" si="24"/>
        <v>6145</v>
      </c>
      <c r="K211" s="34">
        <f t="shared" si="22"/>
        <v>6145</v>
      </c>
      <c r="L211" s="8"/>
    </row>
    <row r="212" spans="1:15" x14ac:dyDescent="0.2">
      <c r="F212" s="9">
        <v>42</v>
      </c>
      <c r="G212" s="9">
        <v>4695</v>
      </c>
      <c r="H212" s="9">
        <v>42</v>
      </c>
      <c r="I212" s="278">
        <f t="shared" si="25"/>
        <v>276738</v>
      </c>
      <c r="J212" s="34">
        <f t="shared" si="24"/>
        <v>6145</v>
      </c>
      <c r="K212" s="34">
        <f t="shared" si="22"/>
        <v>6145</v>
      </c>
      <c r="L212" s="8"/>
    </row>
    <row r="213" spans="1:15" x14ac:dyDescent="0.2">
      <c r="F213" s="9">
        <v>43</v>
      </c>
      <c r="G213" s="9">
        <v>4800</v>
      </c>
      <c r="H213" s="9">
        <v>43</v>
      </c>
      <c r="I213" s="278">
        <f t="shared" si="25"/>
        <v>282883</v>
      </c>
      <c r="J213" s="34">
        <f t="shared" si="24"/>
        <v>6145</v>
      </c>
      <c r="K213" s="34">
        <f t="shared" si="22"/>
        <v>6145</v>
      </c>
      <c r="L213" s="8"/>
    </row>
    <row r="214" spans="1:15" x14ac:dyDescent="0.2">
      <c r="F214" s="9">
        <v>44</v>
      </c>
      <c r="G214" s="9">
        <v>4905</v>
      </c>
      <c r="H214" s="9">
        <v>44</v>
      </c>
      <c r="I214" s="278">
        <f t="shared" si="25"/>
        <v>289028</v>
      </c>
      <c r="J214" s="34">
        <f t="shared" si="24"/>
        <v>6145</v>
      </c>
      <c r="K214" s="34">
        <f t="shared" si="22"/>
        <v>6145</v>
      </c>
      <c r="L214" s="8"/>
    </row>
    <row r="215" spans="1:15" x14ac:dyDescent="0.2">
      <c r="F215" s="9">
        <v>45</v>
      </c>
      <c r="G215" s="9">
        <v>5010</v>
      </c>
      <c r="H215" s="9">
        <v>45</v>
      </c>
      <c r="I215" s="278">
        <f t="shared" si="25"/>
        <v>295173</v>
      </c>
      <c r="J215" s="34">
        <f t="shared" si="24"/>
        <v>6145</v>
      </c>
      <c r="K215" s="34">
        <f t="shared" si="22"/>
        <v>6145</v>
      </c>
      <c r="L215" s="8"/>
    </row>
    <row r="216" spans="1:15" x14ac:dyDescent="0.2">
      <c r="F216" s="9">
        <v>46</v>
      </c>
      <c r="G216" s="9">
        <v>5115</v>
      </c>
      <c r="H216" s="9">
        <v>46</v>
      </c>
      <c r="I216" s="278">
        <f>+I215+K216</f>
        <v>301318</v>
      </c>
      <c r="J216" s="34">
        <f>+I216-I215</f>
        <v>6145</v>
      </c>
      <c r="K216" s="34">
        <f>K215</f>
        <v>6145</v>
      </c>
      <c r="L216" s="8"/>
    </row>
    <row r="217" spans="1:15" x14ac:dyDescent="0.2">
      <c r="F217" s="9">
        <v>47</v>
      </c>
      <c r="G217" s="9">
        <v>5220</v>
      </c>
      <c r="H217" s="9">
        <v>47</v>
      </c>
      <c r="I217" s="278">
        <f>+I216+K217</f>
        <v>307463</v>
      </c>
      <c r="J217" s="34">
        <f>+I217-I216</f>
        <v>6145</v>
      </c>
      <c r="K217" s="34">
        <f>K216</f>
        <v>6145</v>
      </c>
      <c r="L217" s="8"/>
    </row>
    <row r="218" spans="1:15" x14ac:dyDescent="0.2">
      <c r="F218" s="9">
        <v>48</v>
      </c>
      <c r="G218" s="9">
        <v>5325</v>
      </c>
      <c r="H218" s="9">
        <v>48</v>
      </c>
      <c r="I218" s="278">
        <f>+I217+K218</f>
        <v>313608</v>
      </c>
      <c r="J218" s="34">
        <f>+I218-I217</f>
        <v>6145</v>
      </c>
      <c r="K218" s="34">
        <f>K217</f>
        <v>6145</v>
      </c>
      <c r="L218" s="8"/>
    </row>
    <row r="219" spans="1:15" x14ac:dyDescent="0.2">
      <c r="F219" s="9">
        <v>49</v>
      </c>
      <c r="G219" s="9">
        <v>5430</v>
      </c>
      <c r="H219" s="9">
        <v>49</v>
      </c>
      <c r="I219" s="278">
        <f>+I218+K219</f>
        <v>319753</v>
      </c>
      <c r="J219" s="34">
        <f>+I219-I218</f>
        <v>6145</v>
      </c>
      <c r="K219" s="34">
        <f>K218</f>
        <v>6145</v>
      </c>
      <c r="L219" s="8"/>
    </row>
    <row r="220" spans="1:15" x14ac:dyDescent="0.2">
      <c r="F220" s="9">
        <v>50</v>
      </c>
      <c r="G220" s="9">
        <v>5535</v>
      </c>
      <c r="H220" s="9">
        <v>50</v>
      </c>
      <c r="I220" s="278">
        <f>+I219+K220</f>
        <v>325898</v>
      </c>
      <c r="J220" s="34">
        <f>+I220-I219</f>
        <v>6145</v>
      </c>
      <c r="K220" s="34">
        <f>K219</f>
        <v>6145</v>
      </c>
      <c r="L220" s="8"/>
    </row>
    <row r="222" spans="1:15" x14ac:dyDescent="0.2">
      <c r="A222" s="2" t="s">
        <v>235</v>
      </c>
      <c r="C222" s="587">
        <v>1.0141</v>
      </c>
    </row>
    <row r="223" spans="1:15" x14ac:dyDescent="0.2">
      <c r="A223" s="4" t="s">
        <v>7</v>
      </c>
      <c r="B223" s="301"/>
      <c r="C223" s="739">
        <v>2014</v>
      </c>
      <c r="D223" s="740"/>
      <c r="F223" s="301" t="s">
        <v>76</v>
      </c>
      <c r="G223" s="301" t="s">
        <v>59</v>
      </c>
      <c r="H223" s="301" t="s">
        <v>76</v>
      </c>
      <c r="I223" s="301" t="s">
        <v>36</v>
      </c>
      <c r="J223" s="301" t="s">
        <v>77</v>
      </c>
      <c r="K223" s="22" t="s">
        <v>78</v>
      </c>
      <c r="L223" s="301" t="s">
        <v>136</v>
      </c>
    </row>
    <row r="224" spans="1:15" x14ac:dyDescent="0.2">
      <c r="A224" s="301" t="s">
        <v>8</v>
      </c>
      <c r="B224" s="301"/>
      <c r="C224" s="16"/>
      <c r="F224" s="301" t="s">
        <v>58</v>
      </c>
      <c r="G224" s="301" t="s">
        <v>60</v>
      </c>
      <c r="H224" s="301"/>
      <c r="I224" s="301"/>
      <c r="J224" s="301"/>
      <c r="K224" s="301"/>
      <c r="L224" s="22" t="s">
        <v>79</v>
      </c>
      <c r="N224" s="20" t="s">
        <v>75</v>
      </c>
      <c r="O224" s="301"/>
    </row>
    <row r="225" spans="1:15" x14ac:dyDescent="0.2">
      <c r="A225" s="301" t="s">
        <v>9</v>
      </c>
      <c r="B225" s="301"/>
      <c r="C225" s="275">
        <v>1398.48</v>
      </c>
      <c r="D225" s="275">
        <v>14.73</v>
      </c>
      <c r="F225" s="9">
        <v>0</v>
      </c>
      <c r="G225" s="9">
        <v>0</v>
      </c>
      <c r="H225" s="9">
        <v>0</v>
      </c>
      <c r="I225" s="288">
        <v>0</v>
      </c>
      <c r="J225" s="8"/>
      <c r="K225" s="8"/>
      <c r="L225" s="8"/>
      <c r="N225" s="21" t="s">
        <v>33</v>
      </c>
      <c r="O225" s="277">
        <v>0.05</v>
      </c>
    </row>
    <row r="226" spans="1:15" x14ac:dyDescent="0.2">
      <c r="A226" s="301" t="s">
        <v>10</v>
      </c>
      <c r="B226" s="301"/>
      <c r="C226" s="275">
        <v>47.12</v>
      </c>
      <c r="D226" s="275">
        <v>0.46</v>
      </c>
      <c r="F226" s="279">
        <v>2</v>
      </c>
      <c r="G226" s="9">
        <v>375</v>
      </c>
      <c r="H226" s="279">
        <v>2</v>
      </c>
      <c r="I226" s="288">
        <v>19031</v>
      </c>
      <c r="J226" s="8"/>
      <c r="K226" s="8"/>
      <c r="L226" s="8"/>
      <c r="N226" s="301" t="s">
        <v>34</v>
      </c>
      <c r="O226" s="277">
        <v>3.4299999999999997E-2</v>
      </c>
    </row>
    <row r="227" spans="1:15" x14ac:dyDescent="0.2">
      <c r="A227" s="301" t="s">
        <v>11</v>
      </c>
      <c r="B227" s="301"/>
      <c r="C227" s="275">
        <v>0</v>
      </c>
      <c r="D227" s="275">
        <v>19.62</v>
      </c>
      <c r="F227" s="279">
        <v>3</v>
      </c>
      <c r="G227" s="9">
        <v>495</v>
      </c>
      <c r="H227" s="279">
        <v>3</v>
      </c>
      <c r="I227" s="288">
        <v>24487</v>
      </c>
      <c r="J227" s="34">
        <f>+I227-I226</f>
        <v>5456</v>
      </c>
      <c r="K227" s="8"/>
      <c r="L227" s="8"/>
      <c r="N227" s="301" t="s">
        <v>35</v>
      </c>
      <c r="O227" s="277">
        <v>1.7899999999999999E-2</v>
      </c>
    </row>
    <row r="228" spans="1:15" x14ac:dyDescent="0.2">
      <c r="A228" s="301" t="s">
        <v>12</v>
      </c>
      <c r="B228" s="4"/>
      <c r="C228" s="64"/>
      <c r="D228" s="64"/>
      <c r="F228" s="279">
        <v>4</v>
      </c>
      <c r="G228" s="9">
        <v>650</v>
      </c>
      <c r="H228" s="279">
        <v>4</v>
      </c>
      <c r="I228" s="288">
        <v>31533</v>
      </c>
      <c r="J228" s="34">
        <f t="shared" ref="J228:J237" si="26">+I228-I227</f>
        <v>7046</v>
      </c>
      <c r="K228" s="8"/>
      <c r="L228" s="8"/>
      <c r="N228" s="301" t="s">
        <v>61</v>
      </c>
      <c r="O228" s="277">
        <v>1.5642</v>
      </c>
    </row>
    <row r="229" spans="1:15" x14ac:dyDescent="0.2">
      <c r="A229" s="301" t="s">
        <v>13</v>
      </c>
      <c r="B229" s="301"/>
      <c r="C229" s="275">
        <v>90.45</v>
      </c>
      <c r="D229" s="275">
        <v>1.58</v>
      </c>
      <c r="F229" s="279">
        <v>5</v>
      </c>
      <c r="G229" s="9">
        <v>785</v>
      </c>
      <c r="H229" s="279">
        <v>5</v>
      </c>
      <c r="I229" s="288">
        <v>37670</v>
      </c>
      <c r="J229" s="34">
        <f t="shared" si="26"/>
        <v>6137</v>
      </c>
      <c r="K229" s="8"/>
      <c r="L229" s="8"/>
      <c r="N229" s="301" t="s">
        <v>62</v>
      </c>
      <c r="O229" s="277">
        <v>1.15E-2</v>
      </c>
    </row>
    <row r="230" spans="1:15" x14ac:dyDescent="0.2">
      <c r="A230" s="301" t="s">
        <v>14</v>
      </c>
      <c r="B230" s="301"/>
      <c r="C230" s="275">
        <v>31.74</v>
      </c>
      <c r="D230" s="275">
        <v>6.58</v>
      </c>
      <c r="F230" s="279">
        <v>6</v>
      </c>
      <c r="G230" s="9">
        <v>875</v>
      </c>
      <c r="H230" s="279">
        <v>6</v>
      </c>
      <c r="I230" s="288">
        <v>41761</v>
      </c>
      <c r="J230" s="34">
        <f t="shared" si="26"/>
        <v>4091</v>
      </c>
      <c r="K230" s="8"/>
      <c r="L230" s="8"/>
    </row>
    <row r="231" spans="1:15" x14ac:dyDescent="0.2">
      <c r="A231" s="301" t="s">
        <v>24</v>
      </c>
      <c r="B231" s="301"/>
      <c r="C231" s="275">
        <v>41.41</v>
      </c>
      <c r="D231" s="275">
        <v>0.45</v>
      </c>
      <c r="F231" s="279">
        <v>7</v>
      </c>
      <c r="G231" s="9">
        <v>980</v>
      </c>
      <c r="H231" s="279">
        <v>7</v>
      </c>
      <c r="I231" s="278">
        <f t="shared" ref="I231:I237" si="27">+I230+K231</f>
        <v>46534</v>
      </c>
      <c r="J231" s="34">
        <f t="shared" si="26"/>
        <v>4773</v>
      </c>
      <c r="K231" s="288">
        <v>4773</v>
      </c>
      <c r="L231" s="8"/>
    </row>
    <row r="232" spans="1:15" x14ac:dyDescent="0.2">
      <c r="A232" s="301" t="s">
        <v>131</v>
      </c>
      <c r="B232" s="301"/>
      <c r="C232" s="275">
        <v>374.77</v>
      </c>
      <c r="D232" s="275">
        <v>2.04</v>
      </c>
      <c r="F232" s="279">
        <v>8</v>
      </c>
      <c r="G232" s="9">
        <v>1085</v>
      </c>
      <c r="H232" s="279">
        <v>8</v>
      </c>
      <c r="I232" s="278">
        <f t="shared" si="27"/>
        <v>51307</v>
      </c>
      <c r="J232" s="34">
        <f t="shared" si="26"/>
        <v>4773</v>
      </c>
      <c r="K232" s="34">
        <f t="shared" ref="K232:K269" si="28">K231</f>
        <v>4773</v>
      </c>
      <c r="L232" s="8"/>
    </row>
    <row r="233" spans="1:15" x14ac:dyDescent="0.2">
      <c r="A233" s="301"/>
      <c r="B233" s="301"/>
      <c r="C233" s="17"/>
      <c r="D233" s="17"/>
      <c r="F233" s="279">
        <v>9</v>
      </c>
      <c r="G233" s="9">
        <v>1190</v>
      </c>
      <c r="H233" s="279">
        <v>9</v>
      </c>
      <c r="I233" s="278">
        <f t="shared" si="27"/>
        <v>56080</v>
      </c>
      <c r="J233" s="34">
        <f t="shared" si="26"/>
        <v>4773</v>
      </c>
      <c r="K233" s="34">
        <f t="shared" si="28"/>
        <v>4773</v>
      </c>
      <c r="L233" s="8"/>
    </row>
    <row r="234" spans="1:15" x14ac:dyDescent="0.2">
      <c r="A234" s="4" t="s">
        <v>15</v>
      </c>
      <c r="B234" s="301"/>
      <c r="C234" s="18"/>
      <c r="D234" s="18"/>
      <c r="F234" s="279">
        <v>10</v>
      </c>
      <c r="G234" s="9">
        <v>1295</v>
      </c>
      <c r="H234" s="279">
        <v>10</v>
      </c>
      <c r="I234" s="278">
        <f t="shared" si="27"/>
        <v>60853</v>
      </c>
      <c r="J234" s="34">
        <f t="shared" si="26"/>
        <v>4773</v>
      </c>
      <c r="K234" s="34">
        <f t="shared" si="28"/>
        <v>4773</v>
      </c>
      <c r="L234" s="8"/>
    </row>
    <row r="235" spans="1:15" x14ac:dyDescent="0.2">
      <c r="A235" s="301" t="s">
        <v>26</v>
      </c>
      <c r="B235" s="301"/>
      <c r="C235" s="18"/>
      <c r="D235" s="18"/>
      <c r="F235" s="279">
        <v>11</v>
      </c>
      <c r="G235" s="9">
        <v>1400</v>
      </c>
      <c r="H235" s="279">
        <v>11</v>
      </c>
      <c r="I235" s="278">
        <f t="shared" si="27"/>
        <v>65626</v>
      </c>
      <c r="J235" s="34">
        <f t="shared" si="26"/>
        <v>4773</v>
      </c>
      <c r="K235" s="34">
        <f t="shared" si="28"/>
        <v>4773</v>
      </c>
      <c r="L235" s="8"/>
    </row>
    <row r="236" spans="1:15" x14ac:dyDescent="0.2">
      <c r="A236" s="301" t="s">
        <v>16</v>
      </c>
      <c r="B236" s="301"/>
      <c r="C236" s="275">
        <v>9.89</v>
      </c>
      <c r="D236" s="275">
        <v>1.86</v>
      </c>
      <c r="F236" s="279">
        <v>12</v>
      </c>
      <c r="G236" s="9">
        <v>1505</v>
      </c>
      <c r="H236" s="279">
        <v>12</v>
      </c>
      <c r="I236" s="278">
        <f t="shared" si="27"/>
        <v>70399</v>
      </c>
      <c r="J236" s="34">
        <f t="shared" si="26"/>
        <v>4773</v>
      </c>
      <c r="K236" s="34">
        <f t="shared" si="28"/>
        <v>4773</v>
      </c>
      <c r="L236" s="8"/>
    </row>
    <row r="237" spans="1:15" x14ac:dyDescent="0.2">
      <c r="A237" s="301" t="s">
        <v>25</v>
      </c>
      <c r="B237" s="301"/>
      <c r="C237" s="275">
        <v>9.89</v>
      </c>
      <c r="D237" s="275">
        <v>1.04</v>
      </c>
      <c r="F237" s="279">
        <v>13</v>
      </c>
      <c r="G237" s="9">
        <v>1610</v>
      </c>
      <c r="H237" s="279">
        <v>13</v>
      </c>
      <c r="I237" s="278">
        <f t="shared" si="27"/>
        <v>75172</v>
      </c>
      <c r="J237" s="34">
        <f t="shared" si="26"/>
        <v>4773</v>
      </c>
      <c r="K237" s="34">
        <f t="shared" si="28"/>
        <v>4773</v>
      </c>
      <c r="L237" s="8"/>
    </row>
    <row r="238" spans="1:15" x14ac:dyDescent="0.2">
      <c r="A238" s="301" t="s">
        <v>17</v>
      </c>
      <c r="B238" s="301"/>
      <c r="C238" s="275">
        <v>27.57</v>
      </c>
      <c r="D238" s="275">
        <v>0.14000000000000001</v>
      </c>
      <c r="F238" s="279">
        <v>14</v>
      </c>
      <c r="G238" s="9">
        <v>1755</v>
      </c>
      <c r="H238" s="279">
        <v>14</v>
      </c>
      <c r="I238" s="278">
        <f>+I237+K238+L238</f>
        <v>81763</v>
      </c>
      <c r="J238" s="34">
        <f>+I238-I237</f>
        <v>6591</v>
      </c>
      <c r="K238" s="34">
        <f t="shared" si="28"/>
        <v>4773</v>
      </c>
      <c r="L238" s="288">
        <v>1818</v>
      </c>
    </row>
    <row r="239" spans="1:15" x14ac:dyDescent="0.2">
      <c r="A239" s="301" t="s">
        <v>18</v>
      </c>
      <c r="B239" s="301"/>
      <c r="C239" s="275">
        <v>101.74</v>
      </c>
      <c r="D239" s="275">
        <v>4.25</v>
      </c>
      <c r="F239" s="279">
        <v>15</v>
      </c>
      <c r="G239" s="9">
        <v>1860</v>
      </c>
      <c r="H239" s="279">
        <v>15</v>
      </c>
      <c r="I239" s="278">
        <f t="shared" ref="I239:I260" si="29">+I238+K239</f>
        <v>86536</v>
      </c>
      <c r="J239" s="34">
        <f t="shared" ref="J239:J269" si="30">+I239-I238</f>
        <v>4773</v>
      </c>
      <c r="K239" s="34">
        <f t="shared" si="28"/>
        <v>4773</v>
      </c>
      <c r="L239" s="8"/>
    </row>
    <row r="240" spans="1:15" x14ac:dyDescent="0.2">
      <c r="A240" s="301" t="s">
        <v>85</v>
      </c>
      <c r="B240" s="301"/>
      <c r="C240" s="315">
        <v>296.85000000000002</v>
      </c>
      <c r="D240" s="315">
        <v>10.72</v>
      </c>
      <c r="F240" s="279">
        <v>16</v>
      </c>
      <c r="G240" s="9">
        <v>1965</v>
      </c>
      <c r="H240" s="279">
        <v>16</v>
      </c>
      <c r="I240" s="278">
        <f t="shared" si="29"/>
        <v>91309</v>
      </c>
      <c r="J240" s="34">
        <f t="shared" si="30"/>
        <v>4773</v>
      </c>
      <c r="K240" s="34">
        <f t="shared" si="28"/>
        <v>4773</v>
      </c>
      <c r="L240" s="8"/>
    </row>
    <row r="241" spans="1:12" x14ac:dyDescent="0.2">
      <c r="A241" s="301" t="s">
        <v>86</v>
      </c>
      <c r="B241" s="301"/>
      <c r="C241" s="315">
        <v>0</v>
      </c>
      <c r="D241" s="315">
        <v>25.12</v>
      </c>
      <c r="F241" s="279">
        <v>17</v>
      </c>
      <c r="G241" s="9">
        <v>2070</v>
      </c>
      <c r="H241" s="279">
        <v>17</v>
      </c>
      <c r="I241" s="278">
        <f t="shared" si="29"/>
        <v>96082</v>
      </c>
      <c r="J241" s="34">
        <f t="shared" si="30"/>
        <v>4773</v>
      </c>
      <c r="K241" s="34">
        <f t="shared" si="28"/>
        <v>4773</v>
      </c>
      <c r="L241" s="8"/>
    </row>
    <row r="242" spans="1:12" x14ac:dyDescent="0.2">
      <c r="A242" s="301" t="s">
        <v>132</v>
      </c>
      <c r="B242" s="301"/>
      <c r="C242" s="315">
        <v>512.32000000000005</v>
      </c>
      <c r="D242" s="315">
        <v>2.7</v>
      </c>
      <c r="F242" s="279">
        <v>18</v>
      </c>
      <c r="G242" s="9">
        <v>2175</v>
      </c>
      <c r="H242" s="279">
        <v>18</v>
      </c>
      <c r="I242" s="278">
        <f t="shared" si="29"/>
        <v>100855</v>
      </c>
      <c r="J242" s="34">
        <f t="shared" si="30"/>
        <v>4773</v>
      </c>
      <c r="K242" s="34">
        <f t="shared" si="28"/>
        <v>4773</v>
      </c>
      <c r="L242" s="8"/>
    </row>
    <row r="243" spans="1:12" x14ac:dyDescent="0.2">
      <c r="A243" s="301" t="s">
        <v>19</v>
      </c>
      <c r="B243" s="301"/>
      <c r="C243" s="275">
        <v>118.84</v>
      </c>
      <c r="D243" s="275">
        <v>0.22</v>
      </c>
      <c r="F243" s="279">
        <v>19</v>
      </c>
      <c r="G243" s="9">
        <v>2280</v>
      </c>
      <c r="H243" s="279">
        <v>19</v>
      </c>
      <c r="I243" s="278">
        <f t="shared" si="29"/>
        <v>105628</v>
      </c>
      <c r="J243" s="34">
        <f t="shared" si="30"/>
        <v>4773</v>
      </c>
      <c r="K243" s="34">
        <f t="shared" si="28"/>
        <v>4773</v>
      </c>
      <c r="L243" s="8"/>
    </row>
    <row r="244" spans="1:12" x14ac:dyDescent="0.2">
      <c r="A244" s="301" t="s">
        <v>80</v>
      </c>
      <c r="B244" s="301"/>
      <c r="C244" s="315">
        <v>1798.08</v>
      </c>
      <c r="D244" s="315">
        <v>45.89</v>
      </c>
      <c r="F244" s="279">
        <v>20</v>
      </c>
      <c r="G244" s="9">
        <v>2385</v>
      </c>
      <c r="H244" s="279">
        <v>20</v>
      </c>
      <c r="I244" s="278">
        <f t="shared" si="29"/>
        <v>110401</v>
      </c>
      <c r="J244" s="34">
        <f t="shared" si="30"/>
        <v>4773</v>
      </c>
      <c r="K244" s="34">
        <f t="shared" si="28"/>
        <v>4773</v>
      </c>
      <c r="L244" s="8"/>
    </row>
    <row r="245" spans="1:12" x14ac:dyDescent="0.2">
      <c r="A245" s="301" t="s">
        <v>82</v>
      </c>
      <c r="B245" s="301"/>
      <c r="C245" s="315">
        <v>1872.67</v>
      </c>
      <c r="D245" s="315">
        <v>61.13</v>
      </c>
      <c r="F245" s="279">
        <v>21</v>
      </c>
      <c r="G245" s="9">
        <v>2490</v>
      </c>
      <c r="H245" s="279">
        <v>21</v>
      </c>
      <c r="I245" s="278">
        <f t="shared" si="29"/>
        <v>115174</v>
      </c>
      <c r="J245" s="34">
        <f t="shared" si="30"/>
        <v>4773</v>
      </c>
      <c r="K245" s="34">
        <f t="shared" si="28"/>
        <v>4773</v>
      </c>
      <c r="L245" s="8"/>
    </row>
    <row r="246" spans="1:12" x14ac:dyDescent="0.2">
      <c r="A246" s="301" t="s">
        <v>81</v>
      </c>
      <c r="B246" s="301"/>
      <c r="C246" s="315">
        <v>1825.55</v>
      </c>
      <c r="D246" s="315">
        <v>92.23</v>
      </c>
      <c r="F246" s="279">
        <v>22</v>
      </c>
      <c r="G246" s="9">
        <v>2595</v>
      </c>
      <c r="H246" s="279">
        <v>22</v>
      </c>
      <c r="I246" s="278">
        <f t="shared" si="29"/>
        <v>119947</v>
      </c>
      <c r="J246" s="34">
        <f t="shared" si="30"/>
        <v>4773</v>
      </c>
      <c r="K246" s="34">
        <f t="shared" si="28"/>
        <v>4773</v>
      </c>
      <c r="L246" s="8"/>
    </row>
    <row r="247" spans="1:12" x14ac:dyDescent="0.2">
      <c r="A247" s="301" t="s">
        <v>20</v>
      </c>
      <c r="B247" s="301"/>
      <c r="C247" s="275">
        <v>901.34</v>
      </c>
      <c r="D247" s="275">
        <v>15.71</v>
      </c>
      <c r="F247" s="279">
        <v>23</v>
      </c>
      <c r="G247" s="9">
        <v>2700</v>
      </c>
      <c r="H247" s="279">
        <v>23</v>
      </c>
      <c r="I247" s="278">
        <f t="shared" si="29"/>
        <v>124720</v>
      </c>
      <c r="J247" s="34">
        <f t="shared" si="30"/>
        <v>4773</v>
      </c>
      <c r="K247" s="34">
        <f t="shared" si="28"/>
        <v>4773</v>
      </c>
      <c r="L247" s="8"/>
    </row>
    <row r="248" spans="1:12" x14ac:dyDescent="0.2">
      <c r="A248" s="301"/>
      <c r="B248" s="4"/>
      <c r="C248" s="18"/>
      <c r="D248" s="18"/>
      <c r="F248" s="279">
        <v>24</v>
      </c>
      <c r="G248" s="9">
        <v>2805</v>
      </c>
      <c r="H248" s="279">
        <v>24</v>
      </c>
      <c r="I248" s="278">
        <f t="shared" si="29"/>
        <v>129493</v>
      </c>
      <c r="J248" s="34">
        <f t="shared" si="30"/>
        <v>4773</v>
      </c>
      <c r="K248" s="34">
        <f t="shared" si="28"/>
        <v>4773</v>
      </c>
      <c r="L248" s="8"/>
    </row>
    <row r="249" spans="1:12" x14ac:dyDescent="0.2">
      <c r="A249" s="301" t="s">
        <v>27</v>
      </c>
      <c r="B249" s="301"/>
      <c r="C249" s="17"/>
      <c r="D249" s="17"/>
      <c r="F249" s="279">
        <v>25</v>
      </c>
      <c r="G249" s="9">
        <v>2910</v>
      </c>
      <c r="H249" s="279">
        <v>25</v>
      </c>
      <c r="I249" s="278">
        <f t="shared" si="29"/>
        <v>134266</v>
      </c>
      <c r="J249" s="34">
        <f t="shared" si="30"/>
        <v>4773</v>
      </c>
      <c r="K249" s="34">
        <f t="shared" si="28"/>
        <v>4773</v>
      </c>
      <c r="L249" s="8"/>
    </row>
    <row r="250" spans="1:12" x14ac:dyDescent="0.2">
      <c r="A250" s="301" t="s">
        <v>21</v>
      </c>
      <c r="B250" s="301"/>
      <c r="C250" s="275">
        <v>3530.54</v>
      </c>
      <c r="D250" s="275">
        <v>20.64</v>
      </c>
      <c r="F250" s="279">
        <v>26</v>
      </c>
      <c r="G250" s="9">
        <v>3015</v>
      </c>
      <c r="H250" s="279">
        <v>26</v>
      </c>
      <c r="I250" s="278">
        <f t="shared" si="29"/>
        <v>139039</v>
      </c>
      <c r="J250" s="34">
        <f t="shared" si="30"/>
        <v>4773</v>
      </c>
      <c r="K250" s="34">
        <f t="shared" si="28"/>
        <v>4773</v>
      </c>
      <c r="L250" s="8"/>
    </row>
    <row r="251" spans="1:12" x14ac:dyDescent="0.2">
      <c r="A251" s="301" t="s">
        <v>22</v>
      </c>
      <c r="B251" s="301"/>
      <c r="C251" s="275">
        <v>523.41999999999996</v>
      </c>
      <c r="D251" s="275">
        <v>3.63</v>
      </c>
      <c r="F251" s="279">
        <v>27</v>
      </c>
      <c r="G251" s="9">
        <v>3120</v>
      </c>
      <c r="H251" s="279">
        <v>27</v>
      </c>
      <c r="I251" s="278">
        <f t="shared" si="29"/>
        <v>143812</v>
      </c>
      <c r="J251" s="34">
        <f t="shared" si="30"/>
        <v>4773</v>
      </c>
      <c r="K251" s="34">
        <f t="shared" si="28"/>
        <v>4773</v>
      </c>
      <c r="L251" s="8"/>
    </row>
    <row r="252" spans="1:12" x14ac:dyDescent="0.2">
      <c r="A252" s="301" t="s">
        <v>23</v>
      </c>
      <c r="B252" s="301"/>
      <c r="C252" s="275">
        <v>1949.49</v>
      </c>
      <c r="D252" s="275">
        <v>20.81</v>
      </c>
      <c r="F252" s="279">
        <v>28</v>
      </c>
      <c r="G252" s="9">
        <v>3225</v>
      </c>
      <c r="H252" s="279">
        <v>28</v>
      </c>
      <c r="I252" s="278">
        <f t="shared" si="29"/>
        <v>148585</v>
      </c>
      <c r="J252" s="34">
        <f t="shared" si="30"/>
        <v>4773</v>
      </c>
      <c r="K252" s="34">
        <f t="shared" si="28"/>
        <v>4773</v>
      </c>
      <c r="L252" s="8"/>
    </row>
    <row r="253" spans="1:12" x14ac:dyDescent="0.2">
      <c r="A253" s="4"/>
      <c r="B253" s="4"/>
      <c r="C253" s="18"/>
      <c r="D253" s="18"/>
      <c r="F253" s="279">
        <v>29</v>
      </c>
      <c r="G253" s="9">
        <v>3330</v>
      </c>
      <c r="H253" s="279">
        <v>29</v>
      </c>
      <c r="I253" s="278">
        <f t="shared" si="29"/>
        <v>153358</v>
      </c>
      <c r="J253" s="34">
        <f t="shared" si="30"/>
        <v>4773</v>
      </c>
      <c r="K253" s="34">
        <f t="shared" si="28"/>
        <v>4773</v>
      </c>
      <c r="L253" s="8"/>
    </row>
    <row r="254" spans="1:12" x14ac:dyDescent="0.2">
      <c r="A254" s="301" t="s">
        <v>133</v>
      </c>
      <c r="B254" s="301"/>
      <c r="C254" s="19">
        <f>SUM(C236:C252)</f>
        <v>13478.19</v>
      </c>
      <c r="D254" s="19">
        <f>SUM(D236:D252)</f>
        <v>306.08999999999997</v>
      </c>
      <c r="F254" s="279">
        <v>30</v>
      </c>
      <c r="G254" s="9">
        <v>3435</v>
      </c>
      <c r="H254" s="279">
        <v>30</v>
      </c>
      <c r="I254" s="278">
        <f t="shared" si="29"/>
        <v>158131</v>
      </c>
      <c r="J254" s="34">
        <f t="shared" si="30"/>
        <v>4773</v>
      </c>
      <c r="K254" s="34">
        <f t="shared" si="28"/>
        <v>4773</v>
      </c>
      <c r="L254" s="8"/>
    </row>
    <row r="255" spans="1:12" x14ac:dyDescent="0.2">
      <c r="A255" s="4"/>
      <c r="B255" s="4"/>
      <c r="C255" s="18"/>
      <c r="D255" s="18"/>
      <c r="F255" s="279">
        <v>31</v>
      </c>
      <c r="G255" s="9">
        <v>3540</v>
      </c>
      <c r="H255" s="279">
        <v>31</v>
      </c>
      <c r="I255" s="278">
        <f t="shared" si="29"/>
        <v>162904</v>
      </c>
      <c r="J255" s="34">
        <f t="shared" si="30"/>
        <v>4773</v>
      </c>
      <c r="K255" s="34">
        <f t="shared" si="28"/>
        <v>4773</v>
      </c>
      <c r="L255" s="8"/>
    </row>
    <row r="256" spans="1:12" x14ac:dyDescent="0.2">
      <c r="A256" s="301" t="s">
        <v>134</v>
      </c>
      <c r="B256" s="301"/>
      <c r="C256" s="275">
        <v>111.67</v>
      </c>
      <c r="D256" s="275">
        <v>20</v>
      </c>
      <c r="F256" s="279">
        <v>32</v>
      </c>
      <c r="G256" s="9">
        <v>3645</v>
      </c>
      <c r="H256" s="279">
        <v>32</v>
      </c>
      <c r="I256" s="278">
        <f t="shared" si="29"/>
        <v>167677</v>
      </c>
      <c r="J256" s="34">
        <f t="shared" si="30"/>
        <v>4773</v>
      </c>
      <c r="K256" s="34">
        <f t="shared" si="28"/>
        <v>4773</v>
      </c>
      <c r="L256" s="8"/>
    </row>
    <row r="257" spans="1:12" x14ac:dyDescent="0.2">
      <c r="A257" s="301" t="s">
        <v>135</v>
      </c>
      <c r="B257" s="301"/>
      <c r="C257" s="275">
        <v>0</v>
      </c>
      <c r="D257" s="275">
        <v>224.71</v>
      </c>
      <c r="F257" s="279">
        <v>33</v>
      </c>
      <c r="G257" s="9">
        <v>3750</v>
      </c>
      <c r="H257" s="279">
        <v>33</v>
      </c>
      <c r="I257" s="278">
        <f t="shared" si="29"/>
        <v>172450</v>
      </c>
      <c r="J257" s="34">
        <f t="shared" si="30"/>
        <v>4773</v>
      </c>
      <c r="K257" s="34">
        <f t="shared" si="28"/>
        <v>4773</v>
      </c>
      <c r="L257" s="8"/>
    </row>
    <row r="258" spans="1:12" x14ac:dyDescent="0.2">
      <c r="F258" s="279">
        <v>34</v>
      </c>
      <c r="G258" s="9">
        <v>3855</v>
      </c>
      <c r="H258" s="279">
        <v>34</v>
      </c>
      <c r="I258" s="278">
        <f t="shared" si="29"/>
        <v>177223</v>
      </c>
      <c r="J258" s="34">
        <f t="shared" si="30"/>
        <v>4773</v>
      </c>
      <c r="K258" s="34">
        <f t="shared" si="28"/>
        <v>4773</v>
      </c>
      <c r="L258" s="8"/>
    </row>
    <row r="259" spans="1:12" x14ac:dyDescent="0.2">
      <c r="F259" s="279">
        <v>35</v>
      </c>
      <c r="G259" s="9">
        <v>3960</v>
      </c>
      <c r="H259" s="279">
        <v>35</v>
      </c>
      <c r="I259" s="278">
        <f t="shared" si="29"/>
        <v>181996</v>
      </c>
      <c r="J259" s="34">
        <f t="shared" si="30"/>
        <v>4773</v>
      </c>
      <c r="K259" s="34">
        <f t="shared" si="28"/>
        <v>4773</v>
      </c>
      <c r="L259" s="8"/>
    </row>
    <row r="260" spans="1:12" x14ac:dyDescent="0.2">
      <c r="F260" s="9">
        <v>36</v>
      </c>
      <c r="G260" s="9">
        <v>4065</v>
      </c>
      <c r="H260" s="9">
        <v>36</v>
      </c>
      <c r="I260" s="278">
        <f t="shared" si="29"/>
        <v>186769</v>
      </c>
      <c r="J260" s="34">
        <f t="shared" si="30"/>
        <v>4773</v>
      </c>
      <c r="K260" s="34">
        <f t="shared" si="28"/>
        <v>4773</v>
      </c>
      <c r="L260" s="8"/>
    </row>
    <row r="261" spans="1:12" x14ac:dyDescent="0.2">
      <c r="F261" s="9">
        <v>37</v>
      </c>
      <c r="G261" s="9">
        <v>4170</v>
      </c>
      <c r="H261" s="9">
        <v>37</v>
      </c>
      <c r="I261" s="278">
        <f>+I260+K261</f>
        <v>191542</v>
      </c>
      <c r="J261" s="34">
        <f t="shared" si="30"/>
        <v>4773</v>
      </c>
      <c r="K261" s="34">
        <f t="shared" si="28"/>
        <v>4773</v>
      </c>
      <c r="L261" s="8"/>
    </row>
    <row r="262" spans="1:12" x14ac:dyDescent="0.2">
      <c r="C262" s="287"/>
      <c r="F262" s="9">
        <v>38</v>
      </c>
      <c r="G262" s="9">
        <v>4275</v>
      </c>
      <c r="H262" s="9">
        <v>38</v>
      </c>
      <c r="I262" s="278">
        <f t="shared" ref="I262:I269" si="31">+I261+K262</f>
        <v>196315</v>
      </c>
      <c r="J262" s="34">
        <f t="shared" si="30"/>
        <v>4773</v>
      </c>
      <c r="K262" s="34">
        <f t="shared" si="28"/>
        <v>4773</v>
      </c>
      <c r="L262" s="8"/>
    </row>
    <row r="263" spans="1:12" x14ac:dyDescent="0.2">
      <c r="F263" s="9">
        <v>39</v>
      </c>
      <c r="G263" s="9">
        <v>4380</v>
      </c>
      <c r="H263" s="9">
        <v>39</v>
      </c>
      <c r="I263" s="278">
        <f t="shared" si="31"/>
        <v>201088</v>
      </c>
      <c r="J263" s="34">
        <f t="shared" si="30"/>
        <v>4773</v>
      </c>
      <c r="K263" s="34">
        <f t="shared" si="28"/>
        <v>4773</v>
      </c>
      <c r="L263" s="8"/>
    </row>
    <row r="264" spans="1:12" x14ac:dyDescent="0.2">
      <c r="F264" s="9">
        <v>40</v>
      </c>
      <c r="G264" s="9">
        <v>4485</v>
      </c>
      <c r="H264" s="9">
        <v>40</v>
      </c>
      <c r="I264" s="278">
        <f t="shared" si="31"/>
        <v>205861</v>
      </c>
      <c r="J264" s="34">
        <f t="shared" si="30"/>
        <v>4773</v>
      </c>
      <c r="K264" s="34">
        <f t="shared" si="28"/>
        <v>4773</v>
      </c>
      <c r="L264" s="8"/>
    </row>
    <row r="265" spans="1:12" x14ac:dyDescent="0.2">
      <c r="F265" s="9">
        <v>41</v>
      </c>
      <c r="G265" s="9">
        <v>4590</v>
      </c>
      <c r="H265" s="9">
        <v>41</v>
      </c>
      <c r="I265" s="278">
        <f t="shared" si="31"/>
        <v>210634</v>
      </c>
      <c r="J265" s="34">
        <f t="shared" si="30"/>
        <v>4773</v>
      </c>
      <c r="K265" s="34">
        <f t="shared" si="28"/>
        <v>4773</v>
      </c>
      <c r="L265" s="8"/>
    </row>
    <row r="266" spans="1:12" x14ac:dyDescent="0.2">
      <c r="F266" s="9">
        <v>42</v>
      </c>
      <c r="G266" s="9">
        <v>4695</v>
      </c>
      <c r="H266" s="9">
        <v>42</v>
      </c>
      <c r="I266" s="278">
        <f t="shared" si="31"/>
        <v>215407</v>
      </c>
      <c r="J266" s="34">
        <f t="shared" si="30"/>
        <v>4773</v>
      </c>
      <c r="K266" s="34">
        <f t="shared" si="28"/>
        <v>4773</v>
      </c>
      <c r="L266" s="8"/>
    </row>
    <row r="267" spans="1:12" x14ac:dyDescent="0.2">
      <c r="F267" s="9">
        <v>43</v>
      </c>
      <c r="G267" s="9">
        <v>4800</v>
      </c>
      <c r="H267" s="9">
        <v>43</v>
      </c>
      <c r="I267" s="278">
        <f t="shared" si="31"/>
        <v>220180</v>
      </c>
      <c r="J267" s="34">
        <f t="shared" si="30"/>
        <v>4773</v>
      </c>
      <c r="K267" s="34">
        <f t="shared" si="28"/>
        <v>4773</v>
      </c>
      <c r="L267" s="8"/>
    </row>
    <row r="268" spans="1:12" x14ac:dyDescent="0.2">
      <c r="F268" s="9">
        <v>44</v>
      </c>
      <c r="G268" s="9">
        <v>4905</v>
      </c>
      <c r="H268" s="9">
        <v>44</v>
      </c>
      <c r="I268" s="278">
        <f t="shared" si="31"/>
        <v>224953</v>
      </c>
      <c r="J268" s="34">
        <f t="shared" si="30"/>
        <v>4773</v>
      </c>
      <c r="K268" s="34">
        <f t="shared" si="28"/>
        <v>4773</v>
      </c>
      <c r="L268" s="8"/>
    </row>
    <row r="269" spans="1:12" x14ac:dyDescent="0.2">
      <c r="F269" s="9">
        <v>45</v>
      </c>
      <c r="G269" s="9">
        <v>5010</v>
      </c>
      <c r="H269" s="9">
        <v>45</v>
      </c>
      <c r="I269" s="278">
        <f t="shared" si="31"/>
        <v>229726</v>
      </c>
      <c r="J269" s="34">
        <f t="shared" si="30"/>
        <v>4773</v>
      </c>
      <c r="K269" s="34">
        <f t="shared" si="28"/>
        <v>4773</v>
      </c>
      <c r="L269" s="8"/>
    </row>
    <row r="270" spans="1:12" x14ac:dyDescent="0.2">
      <c r="F270" s="9">
        <v>46</v>
      </c>
      <c r="G270" s="9">
        <v>5115</v>
      </c>
      <c r="H270" s="9">
        <v>46</v>
      </c>
      <c r="I270" s="278">
        <f>+I269+K270</f>
        <v>234499</v>
      </c>
      <c r="J270" s="34">
        <f>+I270-I269</f>
        <v>4773</v>
      </c>
      <c r="K270" s="34">
        <f>K269</f>
        <v>4773</v>
      </c>
      <c r="L270" s="8"/>
    </row>
    <row r="271" spans="1:12" x14ac:dyDescent="0.2">
      <c r="F271" s="9">
        <v>47</v>
      </c>
      <c r="G271" s="9">
        <v>5220</v>
      </c>
      <c r="H271" s="9">
        <v>47</v>
      </c>
      <c r="I271" s="278">
        <f>+I270+K271</f>
        <v>239272</v>
      </c>
      <c r="J271" s="34">
        <f>+I271-I270</f>
        <v>4773</v>
      </c>
      <c r="K271" s="34">
        <f>K270</f>
        <v>4773</v>
      </c>
      <c r="L271" s="8"/>
    </row>
    <row r="272" spans="1:12" x14ac:dyDescent="0.2">
      <c r="F272" s="9">
        <v>48</v>
      </c>
      <c r="G272" s="9">
        <v>5325</v>
      </c>
      <c r="H272" s="9">
        <v>48</v>
      </c>
      <c r="I272" s="278">
        <f>+I271+K272</f>
        <v>244045</v>
      </c>
      <c r="J272" s="34">
        <f>+I272-I271</f>
        <v>4773</v>
      </c>
      <c r="K272" s="34">
        <f>K271</f>
        <v>4773</v>
      </c>
      <c r="L272" s="8"/>
    </row>
    <row r="273" spans="1:15" x14ac:dyDescent="0.2">
      <c r="F273" s="9">
        <v>49</v>
      </c>
      <c r="G273" s="9">
        <v>5430</v>
      </c>
      <c r="H273" s="9">
        <v>49</v>
      </c>
      <c r="I273" s="278">
        <f>+I272+K273</f>
        <v>248818</v>
      </c>
      <c r="J273" s="34">
        <f>+I273-I272</f>
        <v>4773</v>
      </c>
      <c r="K273" s="34">
        <f>K272</f>
        <v>4773</v>
      </c>
      <c r="L273" s="8"/>
    </row>
    <row r="274" spans="1:15" x14ac:dyDescent="0.2">
      <c r="F274" s="9">
        <v>50</v>
      </c>
      <c r="G274" s="9">
        <v>5535</v>
      </c>
      <c r="H274" s="9">
        <v>50</v>
      </c>
      <c r="I274" s="278">
        <f>+I273+K274</f>
        <v>253591</v>
      </c>
      <c r="J274" s="34">
        <f>+I274-I273</f>
        <v>4773</v>
      </c>
      <c r="K274" s="34">
        <f>K273</f>
        <v>4773</v>
      </c>
      <c r="L274" s="8"/>
    </row>
    <row r="276" spans="1:15" x14ac:dyDescent="0.2">
      <c r="A276" s="2" t="s">
        <v>230</v>
      </c>
      <c r="C276" s="295">
        <v>1.018</v>
      </c>
    </row>
    <row r="277" spans="1:15" x14ac:dyDescent="0.2">
      <c r="A277" s="4" t="s">
        <v>7</v>
      </c>
      <c r="B277" s="291"/>
      <c r="C277" s="739">
        <v>2013</v>
      </c>
      <c r="D277" s="740"/>
      <c r="F277" s="291" t="s">
        <v>76</v>
      </c>
      <c r="G277" s="291" t="s">
        <v>59</v>
      </c>
      <c r="H277" s="291" t="s">
        <v>76</v>
      </c>
      <c r="I277" s="291" t="s">
        <v>36</v>
      </c>
      <c r="J277" s="291" t="s">
        <v>77</v>
      </c>
      <c r="K277" s="22" t="s">
        <v>78</v>
      </c>
      <c r="L277" s="291" t="s">
        <v>136</v>
      </c>
    </row>
    <row r="278" spans="1:15" x14ac:dyDescent="0.2">
      <c r="A278" s="291" t="s">
        <v>8</v>
      </c>
      <c r="B278" s="291"/>
      <c r="C278" s="16"/>
      <c r="F278" s="291" t="s">
        <v>58</v>
      </c>
      <c r="G278" s="291" t="s">
        <v>60</v>
      </c>
      <c r="H278" s="291"/>
      <c r="I278" s="291"/>
      <c r="J278" s="291"/>
      <c r="K278" s="291"/>
      <c r="L278" s="22" t="s">
        <v>79</v>
      </c>
      <c r="N278" s="20" t="s">
        <v>75</v>
      </c>
      <c r="O278" s="291"/>
    </row>
    <row r="279" spans="1:15" x14ac:dyDescent="0.2">
      <c r="A279" s="291" t="s">
        <v>9</v>
      </c>
      <c r="B279" s="291"/>
      <c r="C279" s="275">
        <v>1379.02</v>
      </c>
      <c r="D279" s="275">
        <v>14.52</v>
      </c>
      <c r="F279" s="9">
        <v>0</v>
      </c>
      <c r="G279" s="9">
        <v>0</v>
      </c>
      <c r="H279" s="9">
        <v>0</v>
      </c>
      <c r="I279" s="288">
        <v>0</v>
      </c>
      <c r="J279" s="8"/>
      <c r="K279" s="8"/>
      <c r="L279" s="8"/>
      <c r="N279" s="21" t="s">
        <v>33</v>
      </c>
      <c r="O279" s="277">
        <v>0.05</v>
      </c>
    </row>
    <row r="280" spans="1:15" x14ac:dyDescent="0.2">
      <c r="A280" s="291" t="s">
        <v>10</v>
      </c>
      <c r="B280" s="291"/>
      <c r="C280" s="275">
        <v>46.46</v>
      </c>
      <c r="D280" s="275">
        <v>0.45</v>
      </c>
      <c r="F280" s="279">
        <v>2</v>
      </c>
      <c r="G280" s="9">
        <v>375</v>
      </c>
      <c r="H280" s="279">
        <v>2</v>
      </c>
      <c r="I280" s="288">
        <v>18768</v>
      </c>
      <c r="J280" s="8"/>
      <c r="K280" s="8"/>
      <c r="L280" s="8"/>
      <c r="N280" s="291" t="s">
        <v>34</v>
      </c>
      <c r="O280" s="277">
        <v>3.4299999999999997E-2</v>
      </c>
    </row>
    <row r="281" spans="1:15" x14ac:dyDescent="0.2">
      <c r="A281" s="291" t="s">
        <v>11</v>
      </c>
      <c r="B281" s="291"/>
      <c r="C281" s="275">
        <v>0</v>
      </c>
      <c r="D281" s="275">
        <v>19.329999999999998</v>
      </c>
      <c r="F281" s="279">
        <v>3</v>
      </c>
      <c r="G281" s="9">
        <v>495</v>
      </c>
      <c r="H281" s="279">
        <v>3</v>
      </c>
      <c r="I281" s="288">
        <v>24147</v>
      </c>
      <c r="J281" s="34">
        <f>+I281-I280</f>
        <v>5379</v>
      </c>
      <c r="K281" s="8"/>
      <c r="L281" s="8"/>
      <c r="N281" s="291" t="s">
        <v>35</v>
      </c>
      <c r="O281" s="277">
        <v>1.7899999999999999E-2</v>
      </c>
    </row>
    <row r="282" spans="1:15" x14ac:dyDescent="0.2">
      <c r="A282" s="291" t="s">
        <v>12</v>
      </c>
      <c r="B282" s="4"/>
      <c r="C282" s="64"/>
      <c r="D282" s="64"/>
      <c r="F282" s="279">
        <v>4</v>
      </c>
      <c r="G282" s="9">
        <v>650</v>
      </c>
      <c r="H282" s="279">
        <v>4</v>
      </c>
      <c r="I282" s="288">
        <v>31096</v>
      </c>
      <c r="J282" s="34">
        <f t="shared" ref="J282:J291" si="32">+I282-I281</f>
        <v>6949</v>
      </c>
      <c r="K282" s="8"/>
      <c r="L282" s="8"/>
      <c r="N282" s="291" t="s">
        <v>61</v>
      </c>
      <c r="O282" s="277">
        <v>1.5642</v>
      </c>
    </row>
    <row r="283" spans="1:15" x14ac:dyDescent="0.2">
      <c r="A283" s="291" t="s">
        <v>13</v>
      </c>
      <c r="B283" s="291"/>
      <c r="C283" s="275">
        <v>89.22</v>
      </c>
      <c r="D283" s="275">
        <v>1.56</v>
      </c>
      <c r="F283" s="279">
        <v>5</v>
      </c>
      <c r="G283" s="9">
        <v>785</v>
      </c>
      <c r="H283" s="279">
        <v>5</v>
      </c>
      <c r="I283" s="288">
        <v>37148</v>
      </c>
      <c r="J283" s="34">
        <f t="shared" si="32"/>
        <v>6052</v>
      </c>
      <c r="K283" s="8"/>
      <c r="L283" s="8"/>
      <c r="N283" s="291" t="s">
        <v>62</v>
      </c>
      <c r="O283" s="277">
        <v>1.15E-2</v>
      </c>
    </row>
    <row r="284" spans="1:15" x14ac:dyDescent="0.2">
      <c r="A284" s="291" t="s">
        <v>14</v>
      </c>
      <c r="B284" s="291"/>
      <c r="C284" s="275">
        <v>31.29</v>
      </c>
      <c r="D284" s="275">
        <v>6.49</v>
      </c>
      <c r="F284" s="279">
        <v>6</v>
      </c>
      <c r="G284" s="9">
        <v>875</v>
      </c>
      <c r="H284" s="279">
        <v>6</v>
      </c>
      <c r="I284" s="288">
        <v>41183</v>
      </c>
      <c r="J284" s="34">
        <f t="shared" si="32"/>
        <v>4035</v>
      </c>
      <c r="K284" s="8"/>
      <c r="L284" s="8"/>
    </row>
    <row r="285" spans="1:15" x14ac:dyDescent="0.2">
      <c r="A285" s="291" t="s">
        <v>24</v>
      </c>
      <c r="B285" s="291"/>
      <c r="C285" s="275">
        <v>40.83</v>
      </c>
      <c r="D285" s="275">
        <v>0.45</v>
      </c>
      <c r="F285" s="279">
        <v>7</v>
      </c>
      <c r="G285" s="9">
        <v>980</v>
      </c>
      <c r="H285" s="279">
        <v>7</v>
      </c>
      <c r="I285" s="278">
        <f t="shared" ref="I285:I291" si="33">+I284+K285</f>
        <v>45890</v>
      </c>
      <c r="J285" s="34">
        <f t="shared" si="32"/>
        <v>4707</v>
      </c>
      <c r="K285" s="288">
        <v>4707</v>
      </c>
      <c r="L285" s="8"/>
    </row>
    <row r="286" spans="1:15" x14ac:dyDescent="0.2">
      <c r="A286" s="291" t="s">
        <v>131</v>
      </c>
      <c r="B286" s="291"/>
      <c r="C286" s="275">
        <v>369.56</v>
      </c>
      <c r="D286" s="275">
        <v>2.0099999999999998</v>
      </c>
      <c r="F286" s="279">
        <v>8</v>
      </c>
      <c r="G286" s="9">
        <v>1085</v>
      </c>
      <c r="H286" s="279">
        <v>8</v>
      </c>
      <c r="I286" s="278">
        <f t="shared" si="33"/>
        <v>50597</v>
      </c>
      <c r="J286" s="34">
        <f t="shared" si="32"/>
        <v>4707</v>
      </c>
      <c r="K286" s="34">
        <f t="shared" ref="K286:K323" si="34">K285</f>
        <v>4707</v>
      </c>
      <c r="L286" s="8"/>
    </row>
    <row r="287" spans="1:15" x14ac:dyDescent="0.2">
      <c r="A287" s="291"/>
      <c r="B287" s="291"/>
      <c r="C287" s="17"/>
      <c r="D287" s="17"/>
      <c r="F287" s="279">
        <v>9</v>
      </c>
      <c r="G287" s="9">
        <v>1190</v>
      </c>
      <c r="H287" s="279">
        <v>9</v>
      </c>
      <c r="I287" s="278">
        <f t="shared" si="33"/>
        <v>55304</v>
      </c>
      <c r="J287" s="34">
        <f t="shared" si="32"/>
        <v>4707</v>
      </c>
      <c r="K287" s="34">
        <f t="shared" si="34"/>
        <v>4707</v>
      </c>
      <c r="L287" s="8"/>
    </row>
    <row r="288" spans="1:15" x14ac:dyDescent="0.2">
      <c r="A288" s="4" t="s">
        <v>15</v>
      </c>
      <c r="B288" s="291"/>
      <c r="C288" s="18"/>
      <c r="D288" s="18"/>
      <c r="F288" s="279">
        <v>10</v>
      </c>
      <c r="G288" s="9">
        <v>1295</v>
      </c>
      <c r="H288" s="279">
        <v>10</v>
      </c>
      <c r="I288" s="278">
        <f t="shared" si="33"/>
        <v>60011</v>
      </c>
      <c r="J288" s="34">
        <f t="shared" si="32"/>
        <v>4707</v>
      </c>
      <c r="K288" s="34">
        <f t="shared" si="34"/>
        <v>4707</v>
      </c>
      <c r="L288" s="8"/>
    </row>
    <row r="289" spans="1:12" x14ac:dyDescent="0.2">
      <c r="A289" s="291" t="s">
        <v>26</v>
      </c>
      <c r="B289" s="291"/>
      <c r="C289" s="18"/>
      <c r="D289" s="18"/>
      <c r="F289" s="279">
        <v>11</v>
      </c>
      <c r="G289" s="9">
        <v>1400</v>
      </c>
      <c r="H289" s="279">
        <v>11</v>
      </c>
      <c r="I289" s="278">
        <f t="shared" si="33"/>
        <v>64718</v>
      </c>
      <c r="J289" s="34">
        <f t="shared" si="32"/>
        <v>4707</v>
      </c>
      <c r="K289" s="34">
        <f t="shared" si="34"/>
        <v>4707</v>
      </c>
      <c r="L289" s="8"/>
    </row>
    <row r="290" spans="1:12" x14ac:dyDescent="0.2">
      <c r="A290" s="291" t="s">
        <v>16</v>
      </c>
      <c r="B290" s="291"/>
      <c r="C290" s="275">
        <v>9.75</v>
      </c>
      <c r="D290" s="275">
        <v>1.83</v>
      </c>
      <c r="F290" s="279">
        <v>12</v>
      </c>
      <c r="G290" s="9">
        <v>1505</v>
      </c>
      <c r="H290" s="279">
        <v>12</v>
      </c>
      <c r="I290" s="278">
        <f t="shared" si="33"/>
        <v>69425</v>
      </c>
      <c r="J290" s="34">
        <f t="shared" si="32"/>
        <v>4707</v>
      </c>
      <c r="K290" s="34">
        <f t="shared" si="34"/>
        <v>4707</v>
      </c>
      <c r="L290" s="8"/>
    </row>
    <row r="291" spans="1:12" x14ac:dyDescent="0.2">
      <c r="A291" s="291" t="s">
        <v>25</v>
      </c>
      <c r="B291" s="291"/>
      <c r="C291" s="275">
        <v>9.75</v>
      </c>
      <c r="D291" s="275">
        <v>1.03</v>
      </c>
      <c r="F291" s="279">
        <v>13</v>
      </c>
      <c r="G291" s="9">
        <v>1610</v>
      </c>
      <c r="H291" s="279">
        <v>13</v>
      </c>
      <c r="I291" s="278">
        <f t="shared" si="33"/>
        <v>74132</v>
      </c>
      <c r="J291" s="34">
        <f t="shared" si="32"/>
        <v>4707</v>
      </c>
      <c r="K291" s="34">
        <f t="shared" si="34"/>
        <v>4707</v>
      </c>
      <c r="L291" s="8"/>
    </row>
    <row r="292" spans="1:12" x14ac:dyDescent="0.2">
      <c r="A292" s="291" t="s">
        <v>17</v>
      </c>
      <c r="B292" s="291"/>
      <c r="C292" s="275">
        <v>27.19</v>
      </c>
      <c r="D292" s="275">
        <v>0.14000000000000001</v>
      </c>
      <c r="F292" s="279">
        <v>14</v>
      </c>
      <c r="G292" s="9">
        <v>1755</v>
      </c>
      <c r="H292" s="279">
        <v>14</v>
      </c>
      <c r="I292" s="278">
        <f>+I291+K292+L292</f>
        <v>80632</v>
      </c>
      <c r="J292" s="34">
        <f>+I292-I291</f>
        <v>6500</v>
      </c>
      <c r="K292" s="34">
        <f t="shared" si="34"/>
        <v>4707</v>
      </c>
      <c r="L292" s="288">
        <v>1793</v>
      </c>
    </row>
    <row r="293" spans="1:12" x14ac:dyDescent="0.2">
      <c r="A293" s="291" t="s">
        <v>18</v>
      </c>
      <c r="B293" s="291"/>
      <c r="C293" s="275">
        <v>100.33</v>
      </c>
      <c r="D293" s="275">
        <v>4.1900000000000004</v>
      </c>
      <c r="F293" s="279">
        <v>15</v>
      </c>
      <c r="G293" s="9">
        <v>1860</v>
      </c>
      <c r="H293" s="279">
        <v>15</v>
      </c>
      <c r="I293" s="278">
        <f t="shared" ref="I293:I314" si="35">+I292+K293</f>
        <v>85339</v>
      </c>
      <c r="J293" s="34">
        <f t="shared" ref="J293:J323" si="36">+I293-I292</f>
        <v>4707</v>
      </c>
      <c r="K293" s="34">
        <f t="shared" si="34"/>
        <v>4707</v>
      </c>
      <c r="L293" s="8"/>
    </row>
    <row r="294" spans="1:12" x14ac:dyDescent="0.2">
      <c r="A294" s="291" t="s">
        <v>85</v>
      </c>
      <c r="B294" s="291"/>
      <c r="C294" s="275">
        <f>ROUND((287.54*1.018),2)</f>
        <v>292.72000000000003</v>
      </c>
      <c r="D294" s="275">
        <f>ROUND((10.38*1.018),2)</f>
        <v>10.57</v>
      </c>
      <c r="F294" s="279">
        <v>16</v>
      </c>
      <c r="G294" s="9">
        <v>1965</v>
      </c>
      <c r="H294" s="279">
        <v>16</v>
      </c>
      <c r="I294" s="278">
        <f t="shared" si="35"/>
        <v>90046</v>
      </c>
      <c r="J294" s="34">
        <f t="shared" si="36"/>
        <v>4707</v>
      </c>
      <c r="K294" s="34">
        <f t="shared" si="34"/>
        <v>4707</v>
      </c>
      <c r="L294" s="8"/>
    </row>
    <row r="295" spans="1:12" x14ac:dyDescent="0.2">
      <c r="A295" s="291" t="s">
        <v>86</v>
      </c>
      <c r="B295" s="291"/>
      <c r="C295" s="275">
        <v>0</v>
      </c>
      <c r="D295" s="275">
        <f>ROUND((24.34*1.018),2)-0.01</f>
        <v>24.77</v>
      </c>
      <c r="F295" s="279">
        <v>17</v>
      </c>
      <c r="G295" s="9">
        <v>2070</v>
      </c>
      <c r="H295" s="279">
        <v>17</v>
      </c>
      <c r="I295" s="278">
        <f t="shared" si="35"/>
        <v>94753</v>
      </c>
      <c r="J295" s="34">
        <f t="shared" si="36"/>
        <v>4707</v>
      </c>
      <c r="K295" s="34">
        <f t="shared" si="34"/>
        <v>4707</v>
      </c>
      <c r="L295" s="8"/>
    </row>
    <row r="296" spans="1:12" x14ac:dyDescent="0.2">
      <c r="A296" s="291" t="s">
        <v>132</v>
      </c>
      <c r="B296" s="291"/>
      <c r="C296" s="275">
        <v>505.2</v>
      </c>
      <c r="D296" s="275">
        <f>ROUND((2.61*1.018),2)</f>
        <v>2.66</v>
      </c>
      <c r="F296" s="279">
        <v>18</v>
      </c>
      <c r="G296" s="9">
        <v>2175</v>
      </c>
      <c r="H296" s="279">
        <v>18</v>
      </c>
      <c r="I296" s="278">
        <f t="shared" si="35"/>
        <v>99460</v>
      </c>
      <c r="J296" s="34">
        <f t="shared" si="36"/>
        <v>4707</v>
      </c>
      <c r="K296" s="34">
        <f t="shared" si="34"/>
        <v>4707</v>
      </c>
      <c r="L296" s="8"/>
    </row>
    <row r="297" spans="1:12" x14ac:dyDescent="0.2">
      <c r="A297" s="291" t="s">
        <v>19</v>
      </c>
      <c r="B297" s="291"/>
      <c r="C297" s="275">
        <v>117.19</v>
      </c>
      <c r="D297" s="275">
        <v>0.22</v>
      </c>
      <c r="F297" s="279">
        <v>19</v>
      </c>
      <c r="G297" s="9">
        <v>2280</v>
      </c>
      <c r="H297" s="279">
        <v>19</v>
      </c>
      <c r="I297" s="278">
        <f t="shared" si="35"/>
        <v>104167</v>
      </c>
      <c r="J297" s="34">
        <f t="shared" si="36"/>
        <v>4707</v>
      </c>
      <c r="K297" s="34">
        <f t="shared" si="34"/>
        <v>4707</v>
      </c>
      <c r="L297" s="8"/>
    </row>
    <row r="298" spans="1:12" x14ac:dyDescent="0.2">
      <c r="A298" s="291" t="s">
        <v>80</v>
      </c>
      <c r="B298" s="291"/>
      <c r="C298" s="275">
        <v>1773.08</v>
      </c>
      <c r="D298" s="275">
        <v>45.25</v>
      </c>
      <c r="F298" s="279">
        <v>20</v>
      </c>
      <c r="G298" s="9">
        <v>2385</v>
      </c>
      <c r="H298" s="279">
        <v>20</v>
      </c>
      <c r="I298" s="278">
        <f t="shared" si="35"/>
        <v>108874</v>
      </c>
      <c r="J298" s="34">
        <f t="shared" si="36"/>
        <v>4707</v>
      </c>
      <c r="K298" s="34">
        <f t="shared" si="34"/>
        <v>4707</v>
      </c>
      <c r="L298" s="8"/>
    </row>
    <row r="299" spans="1:12" x14ac:dyDescent="0.2">
      <c r="A299" s="291" t="s">
        <v>82</v>
      </c>
      <c r="B299" s="291"/>
      <c r="C299" s="275">
        <v>1846.63</v>
      </c>
      <c r="D299" s="275">
        <v>60.28</v>
      </c>
      <c r="F299" s="279">
        <v>21</v>
      </c>
      <c r="G299" s="9">
        <v>2490</v>
      </c>
      <c r="H299" s="279">
        <v>21</v>
      </c>
      <c r="I299" s="278">
        <f t="shared" si="35"/>
        <v>113581</v>
      </c>
      <c r="J299" s="34">
        <f t="shared" si="36"/>
        <v>4707</v>
      </c>
      <c r="K299" s="34">
        <f t="shared" si="34"/>
        <v>4707</v>
      </c>
      <c r="L299" s="8"/>
    </row>
    <row r="300" spans="1:12" x14ac:dyDescent="0.2">
      <c r="A300" s="291" t="s">
        <v>81</v>
      </c>
      <c r="B300" s="291"/>
      <c r="C300" s="275">
        <v>1800.17</v>
      </c>
      <c r="D300" s="275">
        <v>90.95</v>
      </c>
      <c r="F300" s="279">
        <v>22</v>
      </c>
      <c r="G300" s="9">
        <v>2595</v>
      </c>
      <c r="H300" s="279">
        <v>22</v>
      </c>
      <c r="I300" s="278">
        <f t="shared" si="35"/>
        <v>118288</v>
      </c>
      <c r="J300" s="34">
        <f t="shared" si="36"/>
        <v>4707</v>
      </c>
      <c r="K300" s="34">
        <f t="shared" si="34"/>
        <v>4707</v>
      </c>
      <c r="L300" s="8"/>
    </row>
    <row r="301" spans="1:12" x14ac:dyDescent="0.2">
      <c r="A301" s="291" t="s">
        <v>20</v>
      </c>
      <c r="B301" s="291"/>
      <c r="C301" s="275">
        <v>888.81</v>
      </c>
      <c r="D301" s="275">
        <v>15.51</v>
      </c>
      <c r="F301" s="279">
        <v>23</v>
      </c>
      <c r="G301" s="9">
        <v>2700</v>
      </c>
      <c r="H301" s="279">
        <v>23</v>
      </c>
      <c r="I301" s="278">
        <f t="shared" si="35"/>
        <v>122995</v>
      </c>
      <c r="J301" s="34">
        <f t="shared" si="36"/>
        <v>4707</v>
      </c>
      <c r="K301" s="34">
        <f t="shared" si="34"/>
        <v>4707</v>
      </c>
      <c r="L301" s="8"/>
    </row>
    <row r="302" spans="1:12" x14ac:dyDescent="0.2">
      <c r="A302" s="291"/>
      <c r="B302" s="4"/>
      <c r="C302" s="18"/>
      <c r="D302" s="18"/>
      <c r="F302" s="279">
        <v>24</v>
      </c>
      <c r="G302" s="9">
        <v>2805</v>
      </c>
      <c r="H302" s="279">
        <v>24</v>
      </c>
      <c r="I302" s="278">
        <f t="shared" si="35"/>
        <v>127702</v>
      </c>
      <c r="J302" s="34">
        <f t="shared" si="36"/>
        <v>4707</v>
      </c>
      <c r="K302" s="34">
        <f t="shared" si="34"/>
        <v>4707</v>
      </c>
      <c r="L302" s="8"/>
    </row>
    <row r="303" spans="1:12" x14ac:dyDescent="0.2">
      <c r="A303" s="291" t="s">
        <v>27</v>
      </c>
      <c r="B303" s="291"/>
      <c r="C303" s="17"/>
      <c r="D303" s="17"/>
      <c r="F303" s="279">
        <v>25</v>
      </c>
      <c r="G303" s="9">
        <v>2910</v>
      </c>
      <c r="H303" s="279">
        <v>25</v>
      </c>
      <c r="I303" s="278">
        <f t="shared" si="35"/>
        <v>132409</v>
      </c>
      <c r="J303" s="34">
        <f t="shared" si="36"/>
        <v>4707</v>
      </c>
      <c r="K303" s="34">
        <f t="shared" si="34"/>
        <v>4707</v>
      </c>
      <c r="L303" s="8"/>
    </row>
    <row r="304" spans="1:12" x14ac:dyDescent="0.2">
      <c r="A304" s="291" t="s">
        <v>21</v>
      </c>
      <c r="B304" s="291"/>
      <c r="C304" s="275">
        <v>3481.45</v>
      </c>
      <c r="D304" s="275">
        <v>20.350000000000001</v>
      </c>
      <c r="F304" s="279">
        <v>26</v>
      </c>
      <c r="G304" s="9">
        <v>3015</v>
      </c>
      <c r="H304" s="279">
        <v>26</v>
      </c>
      <c r="I304" s="278">
        <f t="shared" si="35"/>
        <v>137116</v>
      </c>
      <c r="J304" s="34">
        <f t="shared" si="36"/>
        <v>4707</v>
      </c>
      <c r="K304" s="34">
        <f t="shared" si="34"/>
        <v>4707</v>
      </c>
      <c r="L304" s="8"/>
    </row>
    <row r="305" spans="1:12" x14ac:dyDescent="0.2">
      <c r="A305" s="291" t="s">
        <v>22</v>
      </c>
      <c r="B305" s="291"/>
      <c r="C305" s="275">
        <v>516.14</v>
      </c>
      <c r="D305" s="275">
        <v>3.58</v>
      </c>
      <c r="F305" s="279">
        <v>27</v>
      </c>
      <c r="G305" s="9">
        <v>3120</v>
      </c>
      <c r="H305" s="279">
        <v>27</v>
      </c>
      <c r="I305" s="278">
        <f t="shared" si="35"/>
        <v>141823</v>
      </c>
      <c r="J305" s="34">
        <f t="shared" si="36"/>
        <v>4707</v>
      </c>
      <c r="K305" s="34">
        <f t="shared" si="34"/>
        <v>4707</v>
      </c>
      <c r="L305" s="8"/>
    </row>
    <row r="306" spans="1:12" x14ac:dyDescent="0.2">
      <c r="A306" s="291" t="s">
        <v>23</v>
      </c>
      <c r="B306" s="291"/>
      <c r="C306" s="275">
        <v>1922.38</v>
      </c>
      <c r="D306" s="275">
        <v>20.53</v>
      </c>
      <c r="F306" s="279">
        <v>28</v>
      </c>
      <c r="G306" s="9">
        <v>3225</v>
      </c>
      <c r="H306" s="279">
        <v>28</v>
      </c>
      <c r="I306" s="278">
        <f t="shared" si="35"/>
        <v>146530</v>
      </c>
      <c r="J306" s="34">
        <f t="shared" si="36"/>
        <v>4707</v>
      </c>
      <c r="K306" s="34">
        <f t="shared" si="34"/>
        <v>4707</v>
      </c>
      <c r="L306" s="8"/>
    </row>
    <row r="307" spans="1:12" x14ac:dyDescent="0.2">
      <c r="A307" s="4"/>
      <c r="B307" s="4"/>
      <c r="C307" s="18"/>
      <c r="D307" s="18"/>
      <c r="F307" s="279">
        <v>29</v>
      </c>
      <c r="G307" s="9">
        <v>3330</v>
      </c>
      <c r="H307" s="279">
        <v>29</v>
      </c>
      <c r="I307" s="278">
        <f t="shared" si="35"/>
        <v>151237</v>
      </c>
      <c r="J307" s="34">
        <f t="shared" si="36"/>
        <v>4707</v>
      </c>
      <c r="K307" s="34">
        <f t="shared" si="34"/>
        <v>4707</v>
      </c>
      <c r="L307" s="8"/>
    </row>
    <row r="308" spans="1:12" x14ac:dyDescent="0.2">
      <c r="A308" s="291" t="s">
        <v>133</v>
      </c>
      <c r="B308" s="291"/>
      <c r="C308" s="19">
        <f>SUM(C290:C306)</f>
        <v>13290.79</v>
      </c>
      <c r="D308" s="19">
        <f>SUM(D290:D306)</f>
        <v>301.86</v>
      </c>
      <c r="F308" s="279">
        <v>30</v>
      </c>
      <c r="G308" s="9">
        <v>3435</v>
      </c>
      <c r="H308" s="279">
        <v>30</v>
      </c>
      <c r="I308" s="278">
        <f t="shared" si="35"/>
        <v>155944</v>
      </c>
      <c r="J308" s="34">
        <f t="shared" si="36"/>
        <v>4707</v>
      </c>
      <c r="K308" s="34">
        <f t="shared" si="34"/>
        <v>4707</v>
      </c>
      <c r="L308" s="8"/>
    </row>
    <row r="309" spans="1:12" x14ac:dyDescent="0.2">
      <c r="A309" s="4"/>
      <c r="B309" s="4"/>
      <c r="C309" s="18"/>
      <c r="D309" s="18"/>
      <c r="F309" s="279">
        <v>31</v>
      </c>
      <c r="G309" s="9">
        <v>3540</v>
      </c>
      <c r="H309" s="279">
        <v>31</v>
      </c>
      <c r="I309" s="278">
        <f t="shared" si="35"/>
        <v>160651</v>
      </c>
      <c r="J309" s="34">
        <f t="shared" si="36"/>
        <v>4707</v>
      </c>
      <c r="K309" s="34">
        <f t="shared" si="34"/>
        <v>4707</v>
      </c>
      <c r="L309" s="8"/>
    </row>
    <row r="310" spans="1:12" x14ac:dyDescent="0.2">
      <c r="A310" s="291" t="s">
        <v>134</v>
      </c>
      <c r="B310" s="291"/>
      <c r="C310" s="275">
        <v>110.12</v>
      </c>
      <c r="D310" s="275">
        <v>19.72</v>
      </c>
      <c r="F310" s="279">
        <v>32</v>
      </c>
      <c r="G310" s="9">
        <v>3645</v>
      </c>
      <c r="H310" s="279">
        <v>32</v>
      </c>
      <c r="I310" s="278">
        <f t="shared" si="35"/>
        <v>165358</v>
      </c>
      <c r="J310" s="34">
        <f t="shared" si="36"/>
        <v>4707</v>
      </c>
      <c r="K310" s="34">
        <f t="shared" si="34"/>
        <v>4707</v>
      </c>
      <c r="L310" s="8"/>
    </row>
    <row r="311" spans="1:12" x14ac:dyDescent="0.2">
      <c r="A311" s="291" t="s">
        <v>135</v>
      </c>
      <c r="B311" s="291"/>
      <c r="C311" s="275">
        <v>0</v>
      </c>
      <c r="D311" s="275">
        <v>221.59</v>
      </c>
      <c r="F311" s="279">
        <v>33</v>
      </c>
      <c r="G311" s="9">
        <v>3750</v>
      </c>
      <c r="H311" s="279">
        <v>33</v>
      </c>
      <c r="I311" s="278">
        <f t="shared" si="35"/>
        <v>170065</v>
      </c>
      <c r="J311" s="34">
        <f t="shared" si="36"/>
        <v>4707</v>
      </c>
      <c r="K311" s="34">
        <f t="shared" si="34"/>
        <v>4707</v>
      </c>
      <c r="L311" s="8"/>
    </row>
    <row r="312" spans="1:12" x14ac:dyDescent="0.2">
      <c r="F312" s="279">
        <v>34</v>
      </c>
      <c r="G312" s="9">
        <v>3855</v>
      </c>
      <c r="H312" s="279">
        <v>34</v>
      </c>
      <c r="I312" s="278">
        <f t="shared" si="35"/>
        <v>174772</v>
      </c>
      <c r="J312" s="34">
        <f t="shared" si="36"/>
        <v>4707</v>
      </c>
      <c r="K312" s="34">
        <f t="shared" si="34"/>
        <v>4707</v>
      </c>
      <c r="L312" s="8"/>
    </row>
    <row r="313" spans="1:12" x14ac:dyDescent="0.2">
      <c r="F313" s="279">
        <v>35</v>
      </c>
      <c r="G313" s="9">
        <v>3960</v>
      </c>
      <c r="H313" s="279">
        <v>35</v>
      </c>
      <c r="I313" s="278">
        <f t="shared" si="35"/>
        <v>179479</v>
      </c>
      <c r="J313" s="34">
        <f t="shared" si="36"/>
        <v>4707</v>
      </c>
      <c r="K313" s="34">
        <f t="shared" si="34"/>
        <v>4707</v>
      </c>
      <c r="L313" s="8"/>
    </row>
    <row r="314" spans="1:12" x14ac:dyDescent="0.2">
      <c r="F314" s="9">
        <v>36</v>
      </c>
      <c r="G314" s="9">
        <v>4065</v>
      </c>
      <c r="H314" s="9">
        <v>36</v>
      </c>
      <c r="I314" s="278">
        <f t="shared" si="35"/>
        <v>184186</v>
      </c>
      <c r="J314" s="34">
        <f t="shared" si="36"/>
        <v>4707</v>
      </c>
      <c r="K314" s="34">
        <f t="shared" si="34"/>
        <v>4707</v>
      </c>
      <c r="L314" s="8"/>
    </row>
    <row r="315" spans="1:12" x14ac:dyDescent="0.2">
      <c r="F315" s="9">
        <v>37</v>
      </c>
      <c r="G315" s="9">
        <v>4170</v>
      </c>
      <c r="H315" s="9">
        <v>37</v>
      </c>
      <c r="I315" s="278">
        <f>+I314+K315</f>
        <v>188893</v>
      </c>
      <c r="J315" s="34">
        <f t="shared" si="36"/>
        <v>4707</v>
      </c>
      <c r="K315" s="34">
        <f t="shared" si="34"/>
        <v>4707</v>
      </c>
      <c r="L315" s="8"/>
    </row>
    <row r="316" spans="1:12" x14ac:dyDescent="0.2">
      <c r="C316" s="287"/>
      <c r="F316" s="9">
        <v>38</v>
      </c>
      <c r="G316" s="9">
        <v>4275</v>
      </c>
      <c r="H316" s="9">
        <v>38</v>
      </c>
      <c r="I316" s="278">
        <f t="shared" ref="I316:I323" si="37">+I315+K316</f>
        <v>193600</v>
      </c>
      <c r="J316" s="34">
        <f t="shared" si="36"/>
        <v>4707</v>
      </c>
      <c r="K316" s="34">
        <f t="shared" si="34"/>
        <v>4707</v>
      </c>
      <c r="L316" s="8"/>
    </row>
    <row r="317" spans="1:12" x14ac:dyDescent="0.2">
      <c r="F317" s="9">
        <v>39</v>
      </c>
      <c r="G317" s="9">
        <v>4380</v>
      </c>
      <c r="H317" s="9">
        <v>39</v>
      </c>
      <c r="I317" s="278">
        <f t="shared" si="37"/>
        <v>198307</v>
      </c>
      <c r="J317" s="34">
        <f t="shared" si="36"/>
        <v>4707</v>
      </c>
      <c r="K317" s="34">
        <f t="shared" si="34"/>
        <v>4707</v>
      </c>
      <c r="L317" s="8"/>
    </row>
    <row r="318" spans="1:12" x14ac:dyDescent="0.2">
      <c r="F318" s="9">
        <v>40</v>
      </c>
      <c r="G318" s="9">
        <v>4485</v>
      </c>
      <c r="H318" s="9">
        <v>40</v>
      </c>
      <c r="I318" s="278">
        <f t="shared" si="37"/>
        <v>203014</v>
      </c>
      <c r="J318" s="34">
        <f t="shared" si="36"/>
        <v>4707</v>
      </c>
      <c r="K318" s="34">
        <f t="shared" si="34"/>
        <v>4707</v>
      </c>
      <c r="L318" s="8"/>
    </row>
    <row r="319" spans="1:12" x14ac:dyDescent="0.2">
      <c r="F319" s="9">
        <v>41</v>
      </c>
      <c r="G319" s="9">
        <v>4590</v>
      </c>
      <c r="H319" s="9">
        <v>41</v>
      </c>
      <c r="I319" s="278">
        <f t="shared" si="37"/>
        <v>207721</v>
      </c>
      <c r="J319" s="34">
        <f t="shared" si="36"/>
        <v>4707</v>
      </c>
      <c r="K319" s="34">
        <f t="shared" si="34"/>
        <v>4707</v>
      </c>
      <c r="L319" s="8"/>
    </row>
    <row r="320" spans="1:12" x14ac:dyDescent="0.2">
      <c r="F320" s="9">
        <v>42</v>
      </c>
      <c r="G320" s="9">
        <v>4695</v>
      </c>
      <c r="H320" s="9">
        <v>42</v>
      </c>
      <c r="I320" s="278">
        <f t="shared" si="37"/>
        <v>212428</v>
      </c>
      <c r="J320" s="34">
        <f t="shared" si="36"/>
        <v>4707</v>
      </c>
      <c r="K320" s="34">
        <f t="shared" si="34"/>
        <v>4707</v>
      </c>
      <c r="L320" s="8"/>
    </row>
    <row r="321" spans="1:15" x14ac:dyDescent="0.2">
      <c r="F321" s="9">
        <v>43</v>
      </c>
      <c r="G321" s="9">
        <v>4800</v>
      </c>
      <c r="H321" s="9">
        <v>43</v>
      </c>
      <c r="I321" s="278">
        <f t="shared" si="37"/>
        <v>217135</v>
      </c>
      <c r="J321" s="34">
        <f t="shared" si="36"/>
        <v>4707</v>
      </c>
      <c r="K321" s="34">
        <f t="shared" si="34"/>
        <v>4707</v>
      </c>
      <c r="L321" s="8"/>
    </row>
    <row r="322" spans="1:15" x14ac:dyDescent="0.2">
      <c r="F322" s="9">
        <v>44</v>
      </c>
      <c r="G322" s="9">
        <v>4905</v>
      </c>
      <c r="H322" s="9">
        <v>44</v>
      </c>
      <c r="I322" s="278">
        <f t="shared" si="37"/>
        <v>221842</v>
      </c>
      <c r="J322" s="34">
        <f t="shared" si="36"/>
        <v>4707</v>
      </c>
      <c r="K322" s="34">
        <f t="shared" si="34"/>
        <v>4707</v>
      </c>
      <c r="L322" s="8"/>
    </row>
    <row r="323" spans="1:15" x14ac:dyDescent="0.2">
      <c r="F323" s="9">
        <v>45</v>
      </c>
      <c r="G323" s="9">
        <v>5010</v>
      </c>
      <c r="H323" s="9">
        <v>45</v>
      </c>
      <c r="I323" s="278">
        <f t="shared" si="37"/>
        <v>226549</v>
      </c>
      <c r="J323" s="34">
        <f t="shared" si="36"/>
        <v>4707</v>
      </c>
      <c r="K323" s="34">
        <f t="shared" si="34"/>
        <v>4707</v>
      </c>
      <c r="L323" s="8"/>
    </row>
    <row r="324" spans="1:15" x14ac:dyDescent="0.2">
      <c r="F324" s="9">
        <v>46</v>
      </c>
      <c r="G324" s="9">
        <v>5115</v>
      </c>
      <c r="H324" s="9">
        <v>46</v>
      </c>
      <c r="I324" s="278">
        <f>+I323+K324</f>
        <v>231256</v>
      </c>
      <c r="J324" s="34">
        <f>+I324-I323</f>
        <v>4707</v>
      </c>
      <c r="K324" s="34">
        <f>K323</f>
        <v>4707</v>
      </c>
      <c r="L324" s="8"/>
    </row>
    <row r="325" spans="1:15" x14ac:dyDescent="0.2">
      <c r="F325" s="9">
        <v>47</v>
      </c>
      <c r="G325" s="9">
        <v>5220</v>
      </c>
      <c r="H325" s="9">
        <v>47</v>
      </c>
      <c r="I325" s="278">
        <f>+I324+K325</f>
        <v>235963</v>
      </c>
      <c r="J325" s="34">
        <f>+I325-I324</f>
        <v>4707</v>
      </c>
      <c r="K325" s="34">
        <f>K324</f>
        <v>4707</v>
      </c>
      <c r="L325" s="8"/>
    </row>
    <row r="326" spans="1:15" x14ac:dyDescent="0.2">
      <c r="F326" s="9">
        <v>48</v>
      </c>
      <c r="G326" s="9">
        <v>5325</v>
      </c>
      <c r="H326" s="9">
        <v>48</v>
      </c>
      <c r="I326" s="278">
        <f>+I325+K326</f>
        <v>240670</v>
      </c>
      <c r="J326" s="34">
        <f>+I326-I325</f>
        <v>4707</v>
      </c>
      <c r="K326" s="34">
        <f>K325</f>
        <v>4707</v>
      </c>
      <c r="L326" s="8"/>
    </row>
    <row r="327" spans="1:15" x14ac:dyDescent="0.2">
      <c r="F327" s="9">
        <v>49</v>
      </c>
      <c r="G327" s="9">
        <v>5430</v>
      </c>
      <c r="H327" s="9">
        <v>49</v>
      </c>
      <c r="I327" s="278">
        <f>+I326+K327</f>
        <v>245377</v>
      </c>
      <c r="J327" s="34">
        <f>+I327-I326</f>
        <v>4707</v>
      </c>
      <c r="K327" s="34">
        <f>K326</f>
        <v>4707</v>
      </c>
      <c r="L327" s="8"/>
    </row>
    <row r="328" spans="1:15" x14ac:dyDescent="0.2">
      <c r="F328" s="9">
        <v>50</v>
      </c>
      <c r="G328" s="9">
        <v>5535</v>
      </c>
      <c r="H328" s="9">
        <v>50</v>
      </c>
      <c r="I328" s="278">
        <f>+I327+K328</f>
        <v>250084</v>
      </c>
      <c r="J328" s="34">
        <f>+I328-I327</f>
        <v>4707</v>
      </c>
      <c r="K328" s="34">
        <f>K327</f>
        <v>4707</v>
      </c>
      <c r="L328" s="8"/>
    </row>
    <row r="330" spans="1:15" x14ac:dyDescent="0.2">
      <c r="A330" s="2" t="s">
        <v>225</v>
      </c>
      <c r="C330" s="286">
        <v>1.0199</v>
      </c>
    </row>
    <row r="331" spans="1:15" x14ac:dyDescent="0.2">
      <c r="A331" s="4" t="s">
        <v>7</v>
      </c>
      <c r="B331" s="65"/>
      <c r="C331" s="739">
        <v>2012</v>
      </c>
      <c r="D331" s="740"/>
      <c r="F331" s="65" t="s">
        <v>76</v>
      </c>
      <c r="G331" s="65" t="s">
        <v>59</v>
      </c>
      <c r="H331" s="65" t="s">
        <v>76</v>
      </c>
      <c r="I331" s="65" t="s">
        <v>36</v>
      </c>
      <c r="J331" s="65" t="s">
        <v>77</v>
      </c>
      <c r="K331" s="22" t="s">
        <v>78</v>
      </c>
      <c r="L331" s="65" t="s">
        <v>136</v>
      </c>
    </row>
    <row r="332" spans="1:15" x14ac:dyDescent="0.2">
      <c r="A332" s="65" t="s">
        <v>8</v>
      </c>
      <c r="B332" s="65"/>
      <c r="C332" s="16"/>
      <c r="F332" s="65" t="s">
        <v>58</v>
      </c>
      <c r="G332" s="65" t="s">
        <v>60</v>
      </c>
      <c r="H332" s="65"/>
      <c r="I332" s="65"/>
      <c r="J332" s="65"/>
      <c r="K332" s="65"/>
      <c r="L332" s="22" t="s">
        <v>79</v>
      </c>
      <c r="N332" s="20" t="s">
        <v>75</v>
      </c>
      <c r="O332" s="65"/>
    </row>
    <row r="333" spans="1:15" x14ac:dyDescent="0.2">
      <c r="A333" s="65" t="s">
        <v>9</v>
      </c>
      <c r="B333" s="65"/>
      <c r="C333" s="275">
        <v>1354.64</v>
      </c>
      <c r="D333" s="275">
        <v>14.27</v>
      </c>
      <c r="F333" s="9">
        <v>0</v>
      </c>
      <c r="G333" s="9">
        <v>0</v>
      </c>
      <c r="H333" s="9">
        <v>0</v>
      </c>
      <c r="I333" s="280">
        <v>0</v>
      </c>
      <c r="J333" s="8"/>
      <c r="K333" s="8"/>
      <c r="L333" s="8"/>
      <c r="N333" s="21" t="s">
        <v>33</v>
      </c>
      <c r="O333" s="277">
        <v>0.05</v>
      </c>
    </row>
    <row r="334" spans="1:15" x14ac:dyDescent="0.2">
      <c r="A334" s="65" t="s">
        <v>10</v>
      </c>
      <c r="B334" s="65"/>
      <c r="C334" s="275">
        <v>45.64</v>
      </c>
      <c r="D334" s="275">
        <v>0.44</v>
      </c>
      <c r="F334" s="279">
        <v>2</v>
      </c>
      <c r="G334" s="9">
        <v>375</v>
      </c>
      <c r="H334" s="279">
        <v>2</v>
      </c>
      <c r="I334" s="281">
        <v>18433</v>
      </c>
      <c r="J334" s="8"/>
      <c r="K334" s="8"/>
      <c r="L334" s="8"/>
      <c r="N334" s="65" t="s">
        <v>34</v>
      </c>
      <c r="O334" s="277">
        <v>3.4299999999999997E-2</v>
      </c>
    </row>
    <row r="335" spans="1:15" x14ac:dyDescent="0.2">
      <c r="A335" s="65" t="s">
        <v>11</v>
      </c>
      <c r="B335" s="65"/>
      <c r="C335" s="275">
        <v>0</v>
      </c>
      <c r="D335" s="275">
        <v>19</v>
      </c>
      <c r="F335" s="279">
        <v>3</v>
      </c>
      <c r="G335" s="9">
        <v>495</v>
      </c>
      <c r="H335" s="279">
        <v>3</v>
      </c>
      <c r="I335" s="281">
        <v>23717</v>
      </c>
      <c r="J335" s="34">
        <f>+I335-I334</f>
        <v>5284</v>
      </c>
      <c r="K335" s="8"/>
      <c r="L335" s="8"/>
      <c r="N335" s="65" t="s">
        <v>35</v>
      </c>
      <c r="O335" s="277">
        <v>1.7899999999999999E-2</v>
      </c>
    </row>
    <row r="336" spans="1:15" x14ac:dyDescent="0.2">
      <c r="A336" s="65" t="s">
        <v>12</v>
      </c>
      <c r="B336" s="4"/>
      <c r="C336" s="64"/>
      <c r="D336" s="64"/>
      <c r="F336" s="279">
        <v>4</v>
      </c>
      <c r="G336" s="9">
        <v>650</v>
      </c>
      <c r="H336" s="279">
        <v>4</v>
      </c>
      <c r="I336" s="281">
        <v>30541</v>
      </c>
      <c r="J336" s="34">
        <f t="shared" ref="J336:J377" si="38">+I336-I335</f>
        <v>6824</v>
      </c>
      <c r="K336" s="8"/>
      <c r="L336" s="8"/>
      <c r="N336" s="65" t="s">
        <v>61</v>
      </c>
      <c r="O336" s="277">
        <v>1.5642</v>
      </c>
    </row>
    <row r="337" spans="1:15" x14ac:dyDescent="0.2">
      <c r="A337" s="65" t="s">
        <v>13</v>
      </c>
      <c r="B337" s="65"/>
      <c r="C337" s="275">
        <v>87.64</v>
      </c>
      <c r="D337" s="275">
        <v>1.53</v>
      </c>
      <c r="F337" s="279">
        <v>5</v>
      </c>
      <c r="G337" s="9">
        <v>785</v>
      </c>
      <c r="H337" s="279">
        <v>5</v>
      </c>
      <c r="I337" s="281">
        <v>36485</v>
      </c>
      <c r="J337" s="34">
        <f t="shared" si="38"/>
        <v>5944</v>
      </c>
      <c r="K337" s="8"/>
      <c r="L337" s="8"/>
      <c r="N337" s="65" t="s">
        <v>62</v>
      </c>
      <c r="O337" s="277">
        <v>1.15E-2</v>
      </c>
    </row>
    <row r="338" spans="1:15" x14ac:dyDescent="0.2">
      <c r="A338" s="65" t="s">
        <v>14</v>
      </c>
      <c r="B338" s="65"/>
      <c r="C338" s="275">
        <v>30.74</v>
      </c>
      <c r="D338" s="275">
        <v>6.38</v>
      </c>
      <c r="F338" s="279">
        <v>6</v>
      </c>
      <c r="G338" s="9">
        <v>875</v>
      </c>
      <c r="H338" s="279">
        <v>6</v>
      </c>
      <c r="I338" s="281">
        <v>40448</v>
      </c>
      <c r="J338" s="34">
        <f t="shared" si="38"/>
        <v>3963</v>
      </c>
      <c r="K338" s="8"/>
      <c r="L338" s="8"/>
    </row>
    <row r="339" spans="1:15" x14ac:dyDescent="0.2">
      <c r="A339" s="65" t="s">
        <v>24</v>
      </c>
      <c r="B339" s="65"/>
      <c r="C339" s="275">
        <v>40.11</v>
      </c>
      <c r="D339" s="275">
        <v>0.44</v>
      </c>
      <c r="F339" s="279">
        <v>7</v>
      </c>
      <c r="G339" s="9">
        <v>980</v>
      </c>
      <c r="H339" s="279">
        <v>7</v>
      </c>
      <c r="I339" s="278">
        <f t="shared" ref="I339:I345" si="39">+I338+K339</f>
        <v>45071</v>
      </c>
      <c r="J339" s="34">
        <f t="shared" si="38"/>
        <v>4623</v>
      </c>
      <c r="K339" s="275">
        <v>4623</v>
      </c>
      <c r="L339" s="8"/>
    </row>
    <row r="340" spans="1:15" x14ac:dyDescent="0.2">
      <c r="A340" s="65" t="s">
        <v>131</v>
      </c>
      <c r="B340" s="65"/>
      <c r="C340" s="275">
        <v>363.03</v>
      </c>
      <c r="D340" s="275">
        <v>1.97</v>
      </c>
      <c r="F340" s="279">
        <v>8</v>
      </c>
      <c r="G340" s="9">
        <v>1085</v>
      </c>
      <c r="H340" s="279">
        <v>8</v>
      </c>
      <c r="I340" s="278">
        <f t="shared" si="39"/>
        <v>49694</v>
      </c>
      <c r="J340" s="34">
        <f t="shared" si="38"/>
        <v>4623</v>
      </c>
      <c r="K340" s="34">
        <f t="shared" ref="K340:K377" si="40">K339</f>
        <v>4623</v>
      </c>
      <c r="L340" s="8"/>
    </row>
    <row r="341" spans="1:15" x14ac:dyDescent="0.2">
      <c r="A341" s="65"/>
      <c r="B341" s="65"/>
      <c r="C341" s="17"/>
      <c r="D341" s="17"/>
      <c r="F341" s="279">
        <v>9</v>
      </c>
      <c r="G341" s="9">
        <v>1190</v>
      </c>
      <c r="H341" s="279">
        <v>9</v>
      </c>
      <c r="I341" s="278">
        <f t="shared" si="39"/>
        <v>54317</v>
      </c>
      <c r="J341" s="34">
        <f t="shared" si="38"/>
        <v>4623</v>
      </c>
      <c r="K341" s="34">
        <f t="shared" si="40"/>
        <v>4623</v>
      </c>
      <c r="L341" s="8"/>
    </row>
    <row r="342" spans="1:15" x14ac:dyDescent="0.2">
      <c r="A342" s="4" t="s">
        <v>15</v>
      </c>
      <c r="B342" s="65"/>
      <c r="C342" s="18"/>
      <c r="D342" s="18"/>
      <c r="F342" s="279">
        <v>10</v>
      </c>
      <c r="G342" s="9">
        <v>1295</v>
      </c>
      <c r="H342" s="279">
        <v>10</v>
      </c>
      <c r="I342" s="278">
        <f t="shared" si="39"/>
        <v>58940</v>
      </c>
      <c r="J342" s="34">
        <f t="shared" si="38"/>
        <v>4623</v>
      </c>
      <c r="K342" s="34">
        <f t="shared" si="40"/>
        <v>4623</v>
      </c>
      <c r="L342" s="8"/>
    </row>
    <row r="343" spans="1:15" x14ac:dyDescent="0.2">
      <c r="A343" s="65" t="s">
        <v>26</v>
      </c>
      <c r="B343" s="65"/>
      <c r="C343" s="18"/>
      <c r="D343" s="18"/>
      <c r="F343" s="279">
        <v>11</v>
      </c>
      <c r="G343" s="9">
        <v>1400</v>
      </c>
      <c r="H343" s="279">
        <v>11</v>
      </c>
      <c r="I343" s="278">
        <f t="shared" si="39"/>
        <v>63563</v>
      </c>
      <c r="J343" s="34">
        <f t="shared" si="38"/>
        <v>4623</v>
      </c>
      <c r="K343" s="34">
        <f t="shared" si="40"/>
        <v>4623</v>
      </c>
      <c r="L343" s="8"/>
    </row>
    <row r="344" spans="1:15" x14ac:dyDescent="0.2">
      <c r="A344" s="65" t="s">
        <v>16</v>
      </c>
      <c r="B344" s="65"/>
      <c r="C344" s="275">
        <v>9.58</v>
      </c>
      <c r="D344" s="275">
        <v>1.8</v>
      </c>
      <c r="F344" s="279">
        <v>12</v>
      </c>
      <c r="G344" s="9">
        <v>1505</v>
      </c>
      <c r="H344" s="279">
        <v>12</v>
      </c>
      <c r="I344" s="278">
        <f t="shared" si="39"/>
        <v>68186</v>
      </c>
      <c r="J344" s="34">
        <f t="shared" si="38"/>
        <v>4623</v>
      </c>
      <c r="K344" s="34">
        <f t="shared" si="40"/>
        <v>4623</v>
      </c>
      <c r="L344" s="8"/>
    </row>
    <row r="345" spans="1:15" x14ac:dyDescent="0.2">
      <c r="A345" s="65" t="s">
        <v>25</v>
      </c>
      <c r="B345" s="65"/>
      <c r="C345" s="275">
        <v>9.58</v>
      </c>
      <c r="D345" s="275">
        <v>1.01</v>
      </c>
      <c r="F345" s="279">
        <v>13</v>
      </c>
      <c r="G345" s="9">
        <v>1610</v>
      </c>
      <c r="H345" s="279">
        <v>13</v>
      </c>
      <c r="I345" s="278">
        <f t="shared" si="39"/>
        <v>72809</v>
      </c>
      <c r="J345" s="34">
        <f t="shared" si="38"/>
        <v>4623</v>
      </c>
      <c r="K345" s="34">
        <f t="shared" si="40"/>
        <v>4623</v>
      </c>
      <c r="L345" s="8"/>
    </row>
    <row r="346" spans="1:15" x14ac:dyDescent="0.2">
      <c r="A346" s="65" t="s">
        <v>17</v>
      </c>
      <c r="B346" s="65"/>
      <c r="C346" s="275">
        <v>26.71</v>
      </c>
      <c r="D346" s="275">
        <v>0.14000000000000001</v>
      </c>
      <c r="F346" s="279">
        <v>14</v>
      </c>
      <c r="G346" s="9">
        <v>1755</v>
      </c>
      <c r="H346" s="279">
        <v>14</v>
      </c>
      <c r="I346" s="278">
        <f>+I345+K346+L346</f>
        <v>79193</v>
      </c>
      <c r="J346" s="34">
        <f>+I346-I345</f>
        <v>6384</v>
      </c>
      <c r="K346" s="34">
        <f t="shared" si="40"/>
        <v>4623</v>
      </c>
      <c r="L346" s="275">
        <v>1761</v>
      </c>
    </row>
    <row r="347" spans="1:15" x14ac:dyDescent="0.2">
      <c r="A347" s="65" t="s">
        <v>18</v>
      </c>
      <c r="B347" s="65"/>
      <c r="C347" s="275">
        <v>98.56</v>
      </c>
      <c r="D347" s="275">
        <v>4.12</v>
      </c>
      <c r="F347" s="279">
        <v>15</v>
      </c>
      <c r="G347" s="9">
        <v>1860</v>
      </c>
      <c r="H347" s="279">
        <v>15</v>
      </c>
      <c r="I347" s="278">
        <f t="shared" ref="I347:I377" si="41">+I346+K347</f>
        <v>83816</v>
      </c>
      <c r="J347" s="34">
        <f t="shared" si="38"/>
        <v>4623</v>
      </c>
      <c r="K347" s="34">
        <f t="shared" si="40"/>
        <v>4623</v>
      </c>
      <c r="L347" s="8"/>
    </row>
    <row r="348" spans="1:15" x14ac:dyDescent="0.2">
      <c r="A348" s="65" t="s">
        <v>85</v>
      </c>
      <c r="B348" s="65"/>
      <c r="C348" s="275">
        <f>ROUND((281.93*1.0199),2)</f>
        <v>287.54000000000002</v>
      </c>
      <c r="D348" s="275">
        <f>ROUND((10.18*1.0199),2)</f>
        <v>10.38</v>
      </c>
      <c r="F348" s="279">
        <v>16</v>
      </c>
      <c r="G348" s="9">
        <v>1965</v>
      </c>
      <c r="H348" s="279">
        <v>16</v>
      </c>
      <c r="I348" s="278">
        <f t="shared" si="41"/>
        <v>88439</v>
      </c>
      <c r="J348" s="34">
        <f t="shared" si="38"/>
        <v>4623</v>
      </c>
      <c r="K348" s="34">
        <f t="shared" si="40"/>
        <v>4623</v>
      </c>
      <c r="L348" s="8"/>
    </row>
    <row r="349" spans="1:15" x14ac:dyDescent="0.2">
      <c r="A349" s="65" t="s">
        <v>86</v>
      </c>
      <c r="B349" s="65"/>
      <c r="C349" s="275">
        <v>0</v>
      </c>
      <c r="D349" s="275">
        <f>ROUND((23.87*1.0199),2)-0.01</f>
        <v>24.34</v>
      </c>
      <c r="F349" s="279">
        <v>17</v>
      </c>
      <c r="G349" s="9">
        <v>2070</v>
      </c>
      <c r="H349" s="279">
        <v>17</v>
      </c>
      <c r="I349" s="278">
        <f t="shared" si="41"/>
        <v>93062</v>
      </c>
      <c r="J349" s="34">
        <f t="shared" si="38"/>
        <v>4623</v>
      </c>
      <c r="K349" s="34">
        <f t="shared" si="40"/>
        <v>4623</v>
      </c>
      <c r="L349" s="8"/>
    </row>
    <row r="350" spans="1:15" x14ac:dyDescent="0.2">
      <c r="A350" s="65" t="s">
        <v>132</v>
      </c>
      <c r="B350" s="65"/>
      <c r="C350" s="275">
        <f>ROUND((486.58*1.0199),2)+0.01</f>
        <v>496.27</v>
      </c>
      <c r="D350" s="275">
        <f>ROUND((2.56*1.0199),2)</f>
        <v>2.61</v>
      </c>
      <c r="F350" s="279">
        <v>18</v>
      </c>
      <c r="G350" s="9">
        <v>2175</v>
      </c>
      <c r="H350" s="279">
        <v>18</v>
      </c>
      <c r="I350" s="278">
        <f t="shared" si="41"/>
        <v>97685</v>
      </c>
      <c r="J350" s="34">
        <f t="shared" si="38"/>
        <v>4623</v>
      </c>
      <c r="K350" s="34">
        <f t="shared" si="40"/>
        <v>4623</v>
      </c>
      <c r="L350" s="8"/>
    </row>
    <row r="351" spans="1:15" x14ac:dyDescent="0.2">
      <c r="A351" s="65" t="s">
        <v>19</v>
      </c>
      <c r="B351" s="65"/>
      <c r="C351" s="275">
        <v>115.12</v>
      </c>
      <c r="D351" s="275">
        <v>0.22</v>
      </c>
      <c r="F351" s="279">
        <v>19</v>
      </c>
      <c r="G351" s="9">
        <v>2280</v>
      </c>
      <c r="H351" s="279">
        <v>19</v>
      </c>
      <c r="I351" s="278">
        <f t="shared" si="41"/>
        <v>102308</v>
      </c>
      <c r="J351" s="34">
        <f t="shared" si="38"/>
        <v>4623</v>
      </c>
      <c r="K351" s="34">
        <f t="shared" si="40"/>
        <v>4623</v>
      </c>
      <c r="L351" s="8"/>
    </row>
    <row r="352" spans="1:15" x14ac:dyDescent="0.2">
      <c r="A352" s="65" t="s">
        <v>80</v>
      </c>
      <c r="B352" s="65"/>
      <c r="C352" s="275">
        <v>1741.74</v>
      </c>
      <c r="D352" s="275">
        <v>44.45</v>
      </c>
      <c r="F352" s="279">
        <v>20</v>
      </c>
      <c r="G352" s="9">
        <v>2385</v>
      </c>
      <c r="H352" s="279">
        <v>20</v>
      </c>
      <c r="I352" s="278">
        <f t="shared" si="41"/>
        <v>106931</v>
      </c>
      <c r="J352" s="34">
        <f t="shared" si="38"/>
        <v>4623</v>
      </c>
      <c r="K352" s="34">
        <f t="shared" si="40"/>
        <v>4623</v>
      </c>
      <c r="L352" s="8"/>
    </row>
    <row r="353" spans="1:12" x14ac:dyDescent="0.2">
      <c r="A353" s="65" t="s">
        <v>82</v>
      </c>
      <c r="B353" s="65"/>
      <c r="C353" s="275">
        <v>1813.97</v>
      </c>
      <c r="D353" s="275">
        <v>59.22</v>
      </c>
      <c r="F353" s="279">
        <v>21</v>
      </c>
      <c r="G353" s="9">
        <v>2490</v>
      </c>
      <c r="H353" s="279">
        <v>21</v>
      </c>
      <c r="I353" s="278">
        <f t="shared" si="41"/>
        <v>111554</v>
      </c>
      <c r="J353" s="34">
        <f t="shared" si="38"/>
        <v>4623</v>
      </c>
      <c r="K353" s="34">
        <f t="shared" si="40"/>
        <v>4623</v>
      </c>
      <c r="L353" s="8"/>
    </row>
    <row r="354" spans="1:12" x14ac:dyDescent="0.2">
      <c r="A354" s="65" t="s">
        <v>81</v>
      </c>
      <c r="B354" s="65"/>
      <c r="C354" s="275">
        <v>1768.34</v>
      </c>
      <c r="D354" s="275">
        <v>89.34</v>
      </c>
      <c r="F354" s="279">
        <v>22</v>
      </c>
      <c r="G354" s="9">
        <v>2595</v>
      </c>
      <c r="H354" s="279">
        <v>22</v>
      </c>
      <c r="I354" s="278">
        <f t="shared" si="41"/>
        <v>116177</v>
      </c>
      <c r="J354" s="34">
        <f t="shared" si="38"/>
        <v>4623</v>
      </c>
      <c r="K354" s="34">
        <f t="shared" si="40"/>
        <v>4623</v>
      </c>
      <c r="L354" s="8"/>
    </row>
    <row r="355" spans="1:12" x14ac:dyDescent="0.2">
      <c r="A355" s="65" t="s">
        <v>20</v>
      </c>
      <c r="B355" s="65"/>
      <c r="C355" s="275">
        <v>873.1</v>
      </c>
      <c r="D355" s="275">
        <v>15.26</v>
      </c>
      <c r="F355" s="279">
        <v>23</v>
      </c>
      <c r="G355" s="9">
        <v>2700</v>
      </c>
      <c r="H355" s="279">
        <v>23</v>
      </c>
      <c r="I355" s="278">
        <f t="shared" si="41"/>
        <v>120800</v>
      </c>
      <c r="J355" s="34">
        <f t="shared" si="38"/>
        <v>4623</v>
      </c>
      <c r="K355" s="34">
        <f t="shared" si="40"/>
        <v>4623</v>
      </c>
      <c r="L355" s="8"/>
    </row>
    <row r="356" spans="1:12" x14ac:dyDescent="0.2">
      <c r="A356" s="65"/>
      <c r="B356" s="4"/>
      <c r="C356" s="18"/>
      <c r="D356" s="18"/>
      <c r="F356" s="279">
        <v>24</v>
      </c>
      <c r="G356" s="9">
        <v>2805</v>
      </c>
      <c r="H356" s="279">
        <v>24</v>
      </c>
      <c r="I356" s="278">
        <f t="shared" si="41"/>
        <v>125423</v>
      </c>
      <c r="J356" s="34">
        <f t="shared" si="38"/>
        <v>4623</v>
      </c>
      <c r="K356" s="34">
        <f t="shared" si="40"/>
        <v>4623</v>
      </c>
      <c r="L356" s="8"/>
    </row>
    <row r="357" spans="1:12" x14ac:dyDescent="0.2">
      <c r="A357" s="65" t="s">
        <v>27</v>
      </c>
      <c r="B357" s="65"/>
      <c r="C357" s="17"/>
      <c r="D357" s="17"/>
      <c r="F357" s="279">
        <v>25</v>
      </c>
      <c r="G357" s="9">
        <v>2910</v>
      </c>
      <c r="H357" s="279">
        <v>25</v>
      </c>
      <c r="I357" s="278">
        <f t="shared" si="41"/>
        <v>130046</v>
      </c>
      <c r="J357" s="34">
        <f t="shared" si="38"/>
        <v>4623</v>
      </c>
      <c r="K357" s="34">
        <f t="shared" si="40"/>
        <v>4623</v>
      </c>
      <c r="L357" s="8"/>
    </row>
    <row r="358" spans="1:12" x14ac:dyDescent="0.2">
      <c r="A358" s="65" t="s">
        <v>21</v>
      </c>
      <c r="B358" s="65"/>
      <c r="C358" s="276">
        <v>3419.89</v>
      </c>
      <c r="D358" s="276">
        <v>19.989999999999998</v>
      </c>
      <c r="F358" s="279">
        <v>26</v>
      </c>
      <c r="G358" s="9">
        <v>3015</v>
      </c>
      <c r="H358" s="279">
        <v>26</v>
      </c>
      <c r="I358" s="278">
        <f t="shared" si="41"/>
        <v>134669</v>
      </c>
      <c r="J358" s="34">
        <f t="shared" si="38"/>
        <v>4623</v>
      </c>
      <c r="K358" s="34">
        <f t="shared" si="40"/>
        <v>4623</v>
      </c>
      <c r="L358" s="8"/>
    </row>
    <row r="359" spans="1:12" x14ac:dyDescent="0.2">
      <c r="A359" s="65" t="s">
        <v>22</v>
      </c>
      <c r="B359" s="65"/>
      <c r="C359" s="276">
        <v>507.01</v>
      </c>
      <c r="D359" s="276">
        <v>3.52</v>
      </c>
      <c r="F359" s="279">
        <v>27</v>
      </c>
      <c r="G359" s="9">
        <v>3120</v>
      </c>
      <c r="H359" s="279">
        <v>27</v>
      </c>
      <c r="I359" s="278">
        <f t="shared" si="41"/>
        <v>139292</v>
      </c>
      <c r="J359" s="34">
        <f t="shared" si="38"/>
        <v>4623</v>
      </c>
      <c r="K359" s="34">
        <f t="shared" si="40"/>
        <v>4623</v>
      </c>
      <c r="L359" s="8"/>
    </row>
    <row r="360" spans="1:12" x14ac:dyDescent="0.2">
      <c r="A360" s="65" t="s">
        <v>23</v>
      </c>
      <c r="B360" s="65"/>
      <c r="C360" s="276">
        <v>1888.39</v>
      </c>
      <c r="D360" s="276">
        <v>20.170000000000002</v>
      </c>
      <c r="F360" s="279">
        <v>28</v>
      </c>
      <c r="G360" s="9">
        <v>3225</v>
      </c>
      <c r="H360" s="279">
        <v>28</v>
      </c>
      <c r="I360" s="278">
        <f t="shared" si="41"/>
        <v>143915</v>
      </c>
      <c r="J360" s="34">
        <f t="shared" si="38"/>
        <v>4623</v>
      </c>
      <c r="K360" s="34">
        <f t="shared" si="40"/>
        <v>4623</v>
      </c>
      <c r="L360" s="8"/>
    </row>
    <row r="361" spans="1:12" x14ac:dyDescent="0.2">
      <c r="A361" s="4"/>
      <c r="B361" s="4"/>
      <c r="C361" s="18"/>
      <c r="D361" s="18"/>
      <c r="F361" s="279">
        <v>29</v>
      </c>
      <c r="G361" s="9">
        <v>3330</v>
      </c>
      <c r="H361" s="279">
        <v>29</v>
      </c>
      <c r="I361" s="278">
        <f t="shared" si="41"/>
        <v>148538</v>
      </c>
      <c r="J361" s="34">
        <f t="shared" si="38"/>
        <v>4623</v>
      </c>
      <c r="K361" s="34">
        <f t="shared" si="40"/>
        <v>4623</v>
      </c>
      <c r="L361" s="8"/>
    </row>
    <row r="362" spans="1:12" x14ac:dyDescent="0.2">
      <c r="A362" s="65" t="s">
        <v>133</v>
      </c>
      <c r="B362" s="65"/>
      <c r="C362" s="19">
        <f>SUM(C344:C360)</f>
        <v>13055.800000000001</v>
      </c>
      <c r="D362" s="19">
        <f>SUM(D344:D360)</f>
        <v>296.57</v>
      </c>
      <c r="F362" s="279">
        <v>30</v>
      </c>
      <c r="G362" s="9">
        <v>3435</v>
      </c>
      <c r="H362" s="279">
        <v>30</v>
      </c>
      <c r="I362" s="278">
        <f t="shared" si="41"/>
        <v>153161</v>
      </c>
      <c r="J362" s="34">
        <f t="shared" si="38"/>
        <v>4623</v>
      </c>
      <c r="K362" s="34">
        <f t="shared" si="40"/>
        <v>4623</v>
      </c>
      <c r="L362" s="8"/>
    </row>
    <row r="363" spans="1:12" x14ac:dyDescent="0.2">
      <c r="A363" s="4"/>
      <c r="B363" s="4"/>
      <c r="C363" s="18"/>
      <c r="D363" s="18"/>
      <c r="F363" s="279">
        <v>31</v>
      </c>
      <c r="G363" s="9">
        <v>3540</v>
      </c>
      <c r="H363" s="279">
        <v>31</v>
      </c>
      <c r="I363" s="278">
        <f t="shared" si="41"/>
        <v>157784</v>
      </c>
      <c r="J363" s="34">
        <f t="shared" si="38"/>
        <v>4623</v>
      </c>
      <c r="K363" s="34">
        <f t="shared" si="40"/>
        <v>4623</v>
      </c>
      <c r="L363" s="8"/>
    </row>
    <row r="364" spans="1:12" x14ac:dyDescent="0.2">
      <c r="A364" s="65" t="s">
        <v>134</v>
      </c>
      <c r="B364" s="65"/>
      <c r="C364" s="275">
        <v>108.17</v>
      </c>
      <c r="D364" s="275">
        <v>19.37</v>
      </c>
      <c r="F364" s="279">
        <v>32</v>
      </c>
      <c r="G364" s="9">
        <v>3645</v>
      </c>
      <c r="H364" s="279">
        <v>32</v>
      </c>
      <c r="I364" s="278">
        <f t="shared" si="41"/>
        <v>162407</v>
      </c>
      <c r="J364" s="34">
        <f t="shared" si="38"/>
        <v>4623</v>
      </c>
      <c r="K364" s="34">
        <f t="shared" si="40"/>
        <v>4623</v>
      </c>
      <c r="L364" s="8"/>
    </row>
    <row r="365" spans="1:12" x14ac:dyDescent="0.2">
      <c r="A365" s="65" t="s">
        <v>135</v>
      </c>
      <c r="B365" s="65"/>
      <c r="C365" s="275">
        <v>0</v>
      </c>
      <c r="D365" s="275">
        <v>217.67</v>
      </c>
      <c r="F365" s="279">
        <v>33</v>
      </c>
      <c r="G365" s="9">
        <v>3750</v>
      </c>
      <c r="H365" s="279">
        <v>33</v>
      </c>
      <c r="I365" s="278">
        <f t="shared" si="41"/>
        <v>167030</v>
      </c>
      <c r="J365" s="34">
        <f t="shared" si="38"/>
        <v>4623</v>
      </c>
      <c r="K365" s="34">
        <f t="shared" si="40"/>
        <v>4623</v>
      </c>
      <c r="L365" s="8"/>
    </row>
    <row r="366" spans="1:12" x14ac:dyDescent="0.2">
      <c r="F366" s="279">
        <v>34</v>
      </c>
      <c r="G366" s="9">
        <v>3855</v>
      </c>
      <c r="H366" s="279">
        <v>34</v>
      </c>
      <c r="I366" s="278">
        <f t="shared" si="41"/>
        <v>171653</v>
      </c>
      <c r="J366" s="34">
        <f t="shared" si="38"/>
        <v>4623</v>
      </c>
      <c r="K366" s="34">
        <f t="shared" si="40"/>
        <v>4623</v>
      </c>
      <c r="L366" s="8"/>
    </row>
    <row r="367" spans="1:12" x14ac:dyDescent="0.2">
      <c r="F367" s="279">
        <v>35</v>
      </c>
      <c r="G367" s="9">
        <v>3960</v>
      </c>
      <c r="H367" s="279">
        <v>35</v>
      </c>
      <c r="I367" s="278">
        <f t="shared" si="41"/>
        <v>176276</v>
      </c>
      <c r="J367" s="34">
        <f t="shared" si="38"/>
        <v>4623</v>
      </c>
      <c r="K367" s="34">
        <f t="shared" si="40"/>
        <v>4623</v>
      </c>
      <c r="L367" s="8"/>
    </row>
    <row r="368" spans="1:12" x14ac:dyDescent="0.2">
      <c r="F368" s="9">
        <v>36</v>
      </c>
      <c r="G368" s="9">
        <v>4065</v>
      </c>
      <c r="H368" s="9">
        <v>36</v>
      </c>
      <c r="I368" s="278">
        <f t="shared" si="41"/>
        <v>180899</v>
      </c>
      <c r="J368" s="34">
        <f t="shared" si="38"/>
        <v>4623</v>
      </c>
      <c r="K368" s="34">
        <f t="shared" si="40"/>
        <v>4623</v>
      </c>
      <c r="L368" s="8"/>
    </row>
    <row r="369" spans="1:12" x14ac:dyDescent="0.2">
      <c r="F369" s="9">
        <v>37</v>
      </c>
      <c r="G369" s="9">
        <v>4170</v>
      </c>
      <c r="H369" s="9">
        <v>37</v>
      </c>
      <c r="I369" s="278">
        <f>+I368+K369</f>
        <v>185522</v>
      </c>
      <c r="J369" s="34">
        <f t="shared" si="38"/>
        <v>4623</v>
      </c>
      <c r="K369" s="34">
        <f t="shared" si="40"/>
        <v>4623</v>
      </c>
      <c r="L369" s="8"/>
    </row>
    <row r="370" spans="1:12" x14ac:dyDescent="0.2">
      <c r="C370" s="287"/>
      <c r="F370" s="9">
        <v>38</v>
      </c>
      <c r="G370" s="9">
        <v>4275</v>
      </c>
      <c r="H370" s="9">
        <v>38</v>
      </c>
      <c r="I370" s="278">
        <f t="shared" si="41"/>
        <v>190145</v>
      </c>
      <c r="J370" s="34">
        <f t="shared" si="38"/>
        <v>4623</v>
      </c>
      <c r="K370" s="34">
        <f t="shared" si="40"/>
        <v>4623</v>
      </c>
      <c r="L370" s="8"/>
    </row>
    <row r="371" spans="1:12" x14ac:dyDescent="0.2">
      <c r="F371" s="9">
        <v>39</v>
      </c>
      <c r="G371" s="9">
        <v>4380</v>
      </c>
      <c r="H371" s="9">
        <v>39</v>
      </c>
      <c r="I371" s="278">
        <f t="shared" si="41"/>
        <v>194768</v>
      </c>
      <c r="J371" s="34">
        <f t="shared" si="38"/>
        <v>4623</v>
      </c>
      <c r="K371" s="34">
        <f t="shared" si="40"/>
        <v>4623</v>
      </c>
      <c r="L371" s="8"/>
    </row>
    <row r="372" spans="1:12" x14ac:dyDescent="0.2">
      <c r="F372" s="9">
        <v>40</v>
      </c>
      <c r="G372" s="9">
        <v>4485</v>
      </c>
      <c r="H372" s="9">
        <v>40</v>
      </c>
      <c r="I372" s="278">
        <f t="shared" si="41"/>
        <v>199391</v>
      </c>
      <c r="J372" s="34">
        <f t="shared" si="38"/>
        <v>4623</v>
      </c>
      <c r="K372" s="34">
        <f t="shared" si="40"/>
        <v>4623</v>
      </c>
      <c r="L372" s="8"/>
    </row>
    <row r="373" spans="1:12" x14ac:dyDescent="0.2">
      <c r="F373" s="9">
        <v>41</v>
      </c>
      <c r="G373" s="9">
        <v>4590</v>
      </c>
      <c r="H373" s="9">
        <v>41</v>
      </c>
      <c r="I373" s="278">
        <f t="shared" si="41"/>
        <v>204014</v>
      </c>
      <c r="J373" s="34">
        <f t="shared" si="38"/>
        <v>4623</v>
      </c>
      <c r="K373" s="34">
        <f t="shared" si="40"/>
        <v>4623</v>
      </c>
      <c r="L373" s="8"/>
    </row>
    <row r="374" spans="1:12" x14ac:dyDescent="0.2">
      <c r="F374" s="9">
        <v>42</v>
      </c>
      <c r="G374" s="9">
        <v>4695</v>
      </c>
      <c r="H374" s="9">
        <v>42</v>
      </c>
      <c r="I374" s="278">
        <f t="shared" si="41"/>
        <v>208637</v>
      </c>
      <c r="J374" s="34">
        <f t="shared" si="38"/>
        <v>4623</v>
      </c>
      <c r="K374" s="34">
        <f t="shared" si="40"/>
        <v>4623</v>
      </c>
      <c r="L374" s="8"/>
    </row>
    <row r="375" spans="1:12" x14ac:dyDescent="0.2">
      <c r="F375" s="9">
        <v>43</v>
      </c>
      <c r="G375" s="9">
        <v>4800</v>
      </c>
      <c r="H375" s="9">
        <v>43</v>
      </c>
      <c r="I375" s="278">
        <f t="shared" si="41"/>
        <v>213260</v>
      </c>
      <c r="J375" s="34">
        <f t="shared" si="38"/>
        <v>4623</v>
      </c>
      <c r="K375" s="34">
        <f t="shared" si="40"/>
        <v>4623</v>
      </c>
      <c r="L375" s="8"/>
    </row>
    <row r="376" spans="1:12" x14ac:dyDescent="0.2">
      <c r="F376" s="9">
        <v>44</v>
      </c>
      <c r="G376" s="9">
        <v>4905</v>
      </c>
      <c r="H376" s="9">
        <v>44</v>
      </c>
      <c r="I376" s="278">
        <f t="shared" si="41"/>
        <v>217883</v>
      </c>
      <c r="J376" s="34">
        <f t="shared" si="38"/>
        <v>4623</v>
      </c>
      <c r="K376" s="34">
        <f t="shared" si="40"/>
        <v>4623</v>
      </c>
      <c r="L376" s="8"/>
    </row>
    <row r="377" spans="1:12" x14ac:dyDescent="0.2">
      <c r="F377" s="9">
        <v>45</v>
      </c>
      <c r="G377" s="9">
        <v>5010</v>
      </c>
      <c r="H377" s="9">
        <v>45</v>
      </c>
      <c r="I377" s="278">
        <f t="shared" si="41"/>
        <v>222506</v>
      </c>
      <c r="J377" s="34">
        <f t="shared" si="38"/>
        <v>4623</v>
      </c>
      <c r="K377" s="34">
        <f t="shared" si="40"/>
        <v>4623</v>
      </c>
      <c r="L377" s="8"/>
    </row>
    <row r="378" spans="1:12" x14ac:dyDescent="0.2">
      <c r="F378" s="9">
        <v>46</v>
      </c>
      <c r="G378" s="9">
        <v>5115</v>
      </c>
      <c r="H378" s="9">
        <v>46</v>
      </c>
      <c r="I378" s="278">
        <f>+I377+K378</f>
        <v>227129</v>
      </c>
      <c r="J378" s="34">
        <f>+I378-I377</f>
        <v>4623</v>
      </c>
      <c r="K378" s="34">
        <f>K377</f>
        <v>4623</v>
      </c>
      <c r="L378" s="8"/>
    </row>
    <row r="379" spans="1:12" x14ac:dyDescent="0.2">
      <c r="F379" s="9">
        <v>47</v>
      </c>
      <c r="G379" s="9">
        <v>5220</v>
      </c>
      <c r="H379" s="9">
        <v>47</v>
      </c>
      <c r="I379" s="278">
        <f>+I378+K379</f>
        <v>231752</v>
      </c>
      <c r="J379" s="34">
        <f>+I379-I378</f>
        <v>4623</v>
      </c>
      <c r="K379" s="34">
        <f>K378</f>
        <v>4623</v>
      </c>
      <c r="L379" s="8"/>
    </row>
    <row r="380" spans="1:12" x14ac:dyDescent="0.2">
      <c r="F380" s="9">
        <v>48</v>
      </c>
      <c r="G380" s="9">
        <v>5325</v>
      </c>
      <c r="H380" s="9">
        <v>48</v>
      </c>
      <c r="I380" s="278">
        <f>+I379+K380</f>
        <v>236375</v>
      </c>
      <c r="J380" s="34">
        <f>+I380-I379</f>
        <v>4623</v>
      </c>
      <c r="K380" s="34">
        <f>K379</f>
        <v>4623</v>
      </c>
      <c r="L380" s="8"/>
    </row>
    <row r="381" spans="1:12" x14ac:dyDescent="0.2">
      <c r="F381" s="9">
        <v>49</v>
      </c>
      <c r="G381" s="9">
        <v>5430</v>
      </c>
      <c r="H381" s="9">
        <v>49</v>
      </c>
      <c r="I381" s="278">
        <f>+I380+K381</f>
        <v>240998</v>
      </c>
      <c r="J381" s="34">
        <f>+I381-I380</f>
        <v>4623</v>
      </c>
      <c r="K381" s="34">
        <f>K380</f>
        <v>4623</v>
      </c>
      <c r="L381" s="8"/>
    </row>
    <row r="382" spans="1:12" x14ac:dyDescent="0.2">
      <c r="F382" s="9">
        <v>50</v>
      </c>
      <c r="G382" s="9">
        <v>5535</v>
      </c>
      <c r="H382" s="9">
        <v>50</v>
      </c>
      <c r="I382" s="278">
        <f>+I381+K382</f>
        <v>245621</v>
      </c>
      <c r="J382" s="34">
        <f>+I382-I381</f>
        <v>4623</v>
      </c>
      <c r="K382" s="34">
        <f>K381</f>
        <v>4623</v>
      </c>
      <c r="L382" s="8"/>
    </row>
    <row r="384" spans="1:12" x14ac:dyDescent="0.2">
      <c r="A384" s="2" t="s">
        <v>226</v>
      </c>
      <c r="C384" s="286">
        <v>1.0199</v>
      </c>
    </row>
    <row r="385" spans="1:15" x14ac:dyDescent="0.2">
      <c r="A385" s="4" t="s">
        <v>7</v>
      </c>
      <c r="B385" s="1"/>
      <c r="C385" s="741">
        <v>2011</v>
      </c>
      <c r="D385" s="743"/>
      <c r="F385" s="1" t="s">
        <v>76</v>
      </c>
      <c r="G385" s="1" t="s">
        <v>59</v>
      </c>
      <c r="H385" s="1" t="s">
        <v>76</v>
      </c>
      <c r="I385" s="1" t="s">
        <v>36</v>
      </c>
      <c r="J385" s="1" t="s">
        <v>77</v>
      </c>
      <c r="K385" s="22" t="s">
        <v>78</v>
      </c>
      <c r="L385" s="1" t="s">
        <v>136</v>
      </c>
    </row>
    <row r="386" spans="1:15" x14ac:dyDescent="0.2">
      <c r="A386" s="1" t="s">
        <v>8</v>
      </c>
      <c r="B386" s="1"/>
      <c r="C386" s="16"/>
      <c r="F386" s="1" t="s">
        <v>58</v>
      </c>
      <c r="G386" s="1" t="s">
        <v>60</v>
      </c>
      <c r="H386" s="1"/>
      <c r="I386" s="1"/>
      <c r="J386" s="1"/>
      <c r="K386" s="1"/>
      <c r="L386" s="22" t="s">
        <v>79</v>
      </c>
      <c r="N386" s="20" t="s">
        <v>75</v>
      </c>
      <c r="O386" s="1"/>
    </row>
    <row r="387" spans="1:15" x14ac:dyDescent="0.2">
      <c r="A387" s="1" t="s">
        <v>9</v>
      </c>
      <c r="B387" s="1"/>
      <c r="C387" s="275">
        <v>1328.2</v>
      </c>
      <c r="D387" s="275">
        <v>13.99</v>
      </c>
      <c r="F387" s="9">
        <v>0</v>
      </c>
      <c r="G387" s="9">
        <v>0</v>
      </c>
      <c r="H387" s="9">
        <v>0</v>
      </c>
      <c r="I387" s="278">
        <v>0</v>
      </c>
      <c r="J387" s="8"/>
      <c r="K387" s="8"/>
      <c r="L387" s="8"/>
      <c r="N387" s="21" t="s">
        <v>33</v>
      </c>
      <c r="O387" s="277">
        <v>0.05</v>
      </c>
    </row>
    <row r="388" spans="1:15" x14ac:dyDescent="0.2">
      <c r="A388" s="1" t="s">
        <v>10</v>
      </c>
      <c r="B388" s="1"/>
      <c r="C388" s="275">
        <v>44.75</v>
      </c>
      <c r="D388" s="275">
        <v>0.44</v>
      </c>
      <c r="F388" s="279">
        <v>2</v>
      </c>
      <c r="G388" s="9">
        <v>375</v>
      </c>
      <c r="H388" s="279">
        <v>2</v>
      </c>
      <c r="I388" s="281">
        <v>18073</v>
      </c>
      <c r="J388" s="8"/>
      <c r="K388" s="8"/>
      <c r="L388" s="8"/>
      <c r="N388" s="1" t="s">
        <v>34</v>
      </c>
      <c r="O388" s="277">
        <v>3.4299999999999997E-2</v>
      </c>
    </row>
    <row r="389" spans="1:15" x14ac:dyDescent="0.2">
      <c r="A389" s="1" t="s">
        <v>11</v>
      </c>
      <c r="B389" s="1"/>
      <c r="C389" s="275">
        <v>0</v>
      </c>
      <c r="D389" s="275">
        <v>18.63</v>
      </c>
      <c r="F389" s="279">
        <v>3</v>
      </c>
      <c r="G389" s="9">
        <v>495</v>
      </c>
      <c r="H389" s="279">
        <v>3</v>
      </c>
      <c r="I389" s="281">
        <v>23253</v>
      </c>
      <c r="J389" s="34">
        <f t="shared" ref="J389:J431" si="42">+I389-I388</f>
        <v>5180</v>
      </c>
      <c r="K389" s="8"/>
      <c r="L389" s="8"/>
      <c r="N389" s="1" t="s">
        <v>35</v>
      </c>
      <c r="O389" s="277">
        <v>1.7899999999999999E-2</v>
      </c>
    </row>
    <row r="390" spans="1:15" x14ac:dyDescent="0.2">
      <c r="A390" s="1" t="s">
        <v>12</v>
      </c>
      <c r="B390" s="4"/>
      <c r="C390" s="64"/>
      <c r="D390" s="64"/>
      <c r="F390" s="279">
        <v>4</v>
      </c>
      <c r="G390" s="9">
        <v>650</v>
      </c>
      <c r="H390" s="279">
        <v>4</v>
      </c>
      <c r="I390" s="281">
        <v>29945</v>
      </c>
      <c r="J390" s="34">
        <f t="shared" si="42"/>
        <v>6692</v>
      </c>
      <c r="K390" s="8"/>
      <c r="L390" s="8"/>
      <c r="N390" s="1" t="s">
        <v>61</v>
      </c>
      <c r="O390" s="277">
        <v>1.5642</v>
      </c>
    </row>
    <row r="391" spans="1:15" x14ac:dyDescent="0.2">
      <c r="A391" s="1" t="s">
        <v>13</v>
      </c>
      <c r="B391" s="1"/>
      <c r="C391" s="275">
        <v>85.93</v>
      </c>
      <c r="D391" s="275">
        <v>1.5</v>
      </c>
      <c r="F391" s="279">
        <v>5</v>
      </c>
      <c r="G391" s="9">
        <v>785</v>
      </c>
      <c r="H391" s="279">
        <v>5</v>
      </c>
      <c r="I391" s="281">
        <v>35773</v>
      </c>
      <c r="J391" s="34">
        <f t="shared" si="42"/>
        <v>5828</v>
      </c>
      <c r="K391" s="8"/>
      <c r="L391" s="8"/>
      <c r="N391" s="1" t="s">
        <v>62</v>
      </c>
      <c r="O391" s="277">
        <v>1.15E-2</v>
      </c>
    </row>
    <row r="392" spans="1:15" x14ac:dyDescent="0.2">
      <c r="A392" s="1" t="s">
        <v>14</v>
      </c>
      <c r="B392" s="1"/>
      <c r="C392" s="275">
        <v>30.14</v>
      </c>
      <c r="D392" s="275">
        <v>6.25</v>
      </c>
      <c r="F392" s="279">
        <v>6</v>
      </c>
      <c r="G392" s="9">
        <v>875</v>
      </c>
      <c r="H392" s="279">
        <v>6</v>
      </c>
      <c r="I392" s="281">
        <v>39658</v>
      </c>
      <c r="J392" s="34">
        <f t="shared" si="42"/>
        <v>3885</v>
      </c>
      <c r="K392" s="8"/>
      <c r="L392" s="8"/>
    </row>
    <row r="393" spans="1:15" x14ac:dyDescent="0.2">
      <c r="A393" s="1" t="s">
        <v>24</v>
      </c>
      <c r="B393" s="1"/>
      <c r="C393" s="275">
        <v>39.33</v>
      </c>
      <c r="D393" s="275">
        <v>0.43</v>
      </c>
      <c r="F393" s="279">
        <v>7</v>
      </c>
      <c r="G393" s="9">
        <v>980</v>
      </c>
      <c r="H393" s="279">
        <v>7</v>
      </c>
      <c r="I393" s="278">
        <f t="shared" ref="I393:I399" si="43">+I392+K393</f>
        <v>44191</v>
      </c>
      <c r="J393" s="34">
        <f t="shared" si="42"/>
        <v>4533</v>
      </c>
      <c r="K393" s="275">
        <v>4533</v>
      </c>
      <c r="L393" s="8"/>
    </row>
    <row r="394" spans="1:15" x14ac:dyDescent="0.2">
      <c r="A394" s="1" t="s">
        <v>131</v>
      </c>
      <c r="B394" s="1"/>
      <c r="C394" s="275">
        <v>355.95</v>
      </c>
      <c r="D394" s="275">
        <v>1.93</v>
      </c>
      <c r="F394" s="279">
        <v>8</v>
      </c>
      <c r="G394" s="9">
        <v>1085</v>
      </c>
      <c r="H394" s="279">
        <v>8</v>
      </c>
      <c r="I394" s="278">
        <f t="shared" si="43"/>
        <v>48724</v>
      </c>
      <c r="J394" s="34">
        <f t="shared" si="42"/>
        <v>4533</v>
      </c>
      <c r="K394" s="34">
        <f t="shared" ref="K394:K431" si="44">K393</f>
        <v>4533</v>
      </c>
      <c r="L394" s="8"/>
    </row>
    <row r="395" spans="1:15" x14ac:dyDescent="0.2">
      <c r="A395" s="1"/>
      <c r="B395" s="1"/>
      <c r="C395" s="17"/>
      <c r="D395" s="17"/>
      <c r="F395" s="279">
        <v>9</v>
      </c>
      <c r="G395" s="9">
        <v>1190</v>
      </c>
      <c r="H395" s="279">
        <v>9</v>
      </c>
      <c r="I395" s="278">
        <f t="shared" si="43"/>
        <v>53257</v>
      </c>
      <c r="J395" s="34">
        <f t="shared" si="42"/>
        <v>4533</v>
      </c>
      <c r="K395" s="34">
        <f t="shared" si="44"/>
        <v>4533</v>
      </c>
      <c r="L395" s="8"/>
    </row>
    <row r="396" spans="1:15" x14ac:dyDescent="0.2">
      <c r="A396" s="4" t="s">
        <v>15</v>
      </c>
      <c r="B396" s="1"/>
      <c r="C396" s="18"/>
      <c r="D396" s="18"/>
      <c r="F396" s="279">
        <v>10</v>
      </c>
      <c r="G396" s="9">
        <v>1295</v>
      </c>
      <c r="H396" s="279">
        <v>10</v>
      </c>
      <c r="I396" s="278">
        <f t="shared" si="43"/>
        <v>57790</v>
      </c>
      <c r="J396" s="34">
        <f t="shared" si="42"/>
        <v>4533</v>
      </c>
      <c r="K396" s="34">
        <f t="shared" si="44"/>
        <v>4533</v>
      </c>
      <c r="L396" s="8"/>
    </row>
    <row r="397" spans="1:15" x14ac:dyDescent="0.2">
      <c r="A397" s="1" t="s">
        <v>26</v>
      </c>
      <c r="B397" s="1"/>
      <c r="C397" s="18"/>
      <c r="D397" s="18"/>
      <c r="F397" s="279">
        <v>11</v>
      </c>
      <c r="G397" s="9">
        <v>1400</v>
      </c>
      <c r="H397" s="279">
        <v>11</v>
      </c>
      <c r="I397" s="278">
        <f t="shared" si="43"/>
        <v>62323</v>
      </c>
      <c r="J397" s="34">
        <f t="shared" si="42"/>
        <v>4533</v>
      </c>
      <c r="K397" s="34">
        <f t="shared" si="44"/>
        <v>4533</v>
      </c>
      <c r="L397" s="8"/>
    </row>
    <row r="398" spans="1:15" x14ac:dyDescent="0.2">
      <c r="A398" s="1" t="s">
        <v>16</v>
      </c>
      <c r="B398" s="1"/>
      <c r="C398" s="275">
        <v>9.39</v>
      </c>
      <c r="D398" s="275">
        <v>1.76</v>
      </c>
      <c r="F398" s="279">
        <v>12</v>
      </c>
      <c r="G398" s="9">
        <v>1505</v>
      </c>
      <c r="H398" s="279">
        <v>12</v>
      </c>
      <c r="I398" s="278">
        <f t="shared" si="43"/>
        <v>66856</v>
      </c>
      <c r="J398" s="34">
        <f t="shared" si="42"/>
        <v>4533</v>
      </c>
      <c r="K398" s="34">
        <f t="shared" si="44"/>
        <v>4533</v>
      </c>
      <c r="L398" s="8"/>
    </row>
    <row r="399" spans="1:15" x14ac:dyDescent="0.2">
      <c r="A399" s="1" t="s">
        <v>25</v>
      </c>
      <c r="B399" s="1"/>
      <c r="C399" s="275">
        <v>9.39</v>
      </c>
      <c r="D399" s="275">
        <v>0.99</v>
      </c>
      <c r="F399" s="279">
        <v>13</v>
      </c>
      <c r="G399" s="9">
        <v>1610</v>
      </c>
      <c r="H399" s="279">
        <v>13</v>
      </c>
      <c r="I399" s="278">
        <f t="shared" si="43"/>
        <v>71389</v>
      </c>
      <c r="J399" s="34">
        <f t="shared" si="42"/>
        <v>4533</v>
      </c>
      <c r="K399" s="34">
        <f t="shared" si="44"/>
        <v>4533</v>
      </c>
      <c r="L399" s="8"/>
    </row>
    <row r="400" spans="1:15" x14ac:dyDescent="0.2">
      <c r="A400" s="1" t="s">
        <v>17</v>
      </c>
      <c r="B400" s="1"/>
      <c r="C400" s="275">
        <v>26.19</v>
      </c>
      <c r="D400" s="275">
        <v>0.14000000000000001</v>
      </c>
      <c r="F400" s="279">
        <v>14</v>
      </c>
      <c r="G400" s="9">
        <v>1755</v>
      </c>
      <c r="H400" s="279">
        <v>14</v>
      </c>
      <c r="I400" s="278">
        <f>+I399+K400+L400</f>
        <v>77649</v>
      </c>
      <c r="J400" s="34">
        <f>+I400-I399</f>
        <v>6260</v>
      </c>
      <c r="K400" s="34">
        <f t="shared" si="44"/>
        <v>4533</v>
      </c>
      <c r="L400" s="275">
        <v>1727</v>
      </c>
    </row>
    <row r="401" spans="1:12" x14ac:dyDescent="0.2">
      <c r="A401" s="1" t="s">
        <v>18</v>
      </c>
      <c r="B401" s="1"/>
      <c r="C401" s="275">
        <v>96.64</v>
      </c>
      <c r="D401" s="275">
        <v>4.04</v>
      </c>
      <c r="F401" s="279">
        <v>15</v>
      </c>
      <c r="G401" s="9">
        <v>1860</v>
      </c>
      <c r="H401" s="279">
        <v>15</v>
      </c>
      <c r="I401" s="278">
        <f t="shared" ref="I401:I431" si="45">+I400+K401</f>
        <v>82182</v>
      </c>
      <c r="J401" s="34">
        <f t="shared" si="42"/>
        <v>4533</v>
      </c>
      <c r="K401" s="34">
        <f t="shared" si="44"/>
        <v>4533</v>
      </c>
      <c r="L401" s="8"/>
    </row>
    <row r="402" spans="1:12" x14ac:dyDescent="0.2">
      <c r="A402" s="1" t="s">
        <v>85</v>
      </c>
      <c r="B402" s="1"/>
      <c r="C402" s="275">
        <v>281.93</v>
      </c>
      <c r="D402" s="275">
        <v>10.18</v>
      </c>
      <c r="F402" s="279">
        <v>16</v>
      </c>
      <c r="G402" s="9">
        <v>1965</v>
      </c>
      <c r="H402" s="279">
        <v>16</v>
      </c>
      <c r="I402" s="278">
        <f t="shared" si="45"/>
        <v>86715</v>
      </c>
      <c r="J402" s="34">
        <f t="shared" si="42"/>
        <v>4533</v>
      </c>
      <c r="K402" s="34">
        <f t="shared" si="44"/>
        <v>4533</v>
      </c>
      <c r="L402" s="8"/>
    </row>
    <row r="403" spans="1:12" x14ac:dyDescent="0.2">
      <c r="A403" s="1" t="s">
        <v>86</v>
      </c>
      <c r="B403" s="1"/>
      <c r="C403" s="275">
        <v>0</v>
      </c>
      <c r="D403" s="275">
        <f>23.87-0.01</f>
        <v>23.86</v>
      </c>
      <c r="F403" s="279">
        <v>17</v>
      </c>
      <c r="G403" s="9">
        <v>2070</v>
      </c>
      <c r="H403" s="279">
        <v>17</v>
      </c>
      <c r="I403" s="278">
        <f t="shared" si="45"/>
        <v>91248</v>
      </c>
      <c r="J403" s="34">
        <f t="shared" si="42"/>
        <v>4533</v>
      </c>
      <c r="K403" s="34">
        <f t="shared" si="44"/>
        <v>4533</v>
      </c>
      <c r="L403" s="8"/>
    </row>
    <row r="404" spans="1:12" x14ac:dyDescent="0.2">
      <c r="A404" s="1" t="s">
        <v>132</v>
      </c>
      <c r="B404" s="1"/>
      <c r="C404" s="275">
        <f>486.58+0.01</f>
        <v>486.59</v>
      </c>
      <c r="D404" s="275">
        <v>2.56</v>
      </c>
      <c r="F404" s="279">
        <v>18</v>
      </c>
      <c r="G404" s="9">
        <v>2175</v>
      </c>
      <c r="H404" s="279">
        <v>18</v>
      </c>
      <c r="I404" s="278">
        <f t="shared" si="45"/>
        <v>95781</v>
      </c>
      <c r="J404" s="34">
        <f t="shared" si="42"/>
        <v>4533</v>
      </c>
      <c r="K404" s="34">
        <f t="shared" si="44"/>
        <v>4533</v>
      </c>
      <c r="L404" s="8"/>
    </row>
    <row r="405" spans="1:12" x14ac:dyDescent="0.2">
      <c r="A405" s="1" t="s">
        <v>19</v>
      </c>
      <c r="B405" s="1"/>
      <c r="C405" s="275">
        <v>112.87</v>
      </c>
      <c r="D405" s="275">
        <v>0.22</v>
      </c>
      <c r="F405" s="279">
        <v>19</v>
      </c>
      <c r="G405" s="9">
        <v>2280</v>
      </c>
      <c r="H405" s="279">
        <v>19</v>
      </c>
      <c r="I405" s="278">
        <f t="shared" si="45"/>
        <v>100314</v>
      </c>
      <c r="J405" s="34">
        <f t="shared" si="42"/>
        <v>4533</v>
      </c>
      <c r="K405" s="34">
        <f t="shared" si="44"/>
        <v>4533</v>
      </c>
      <c r="L405" s="8"/>
    </row>
    <row r="406" spans="1:12" x14ac:dyDescent="0.2">
      <c r="A406" s="1" t="s">
        <v>80</v>
      </c>
      <c r="B406" s="1"/>
      <c r="C406" s="275">
        <v>1707.75</v>
      </c>
      <c r="D406" s="275">
        <v>43.58</v>
      </c>
      <c r="F406" s="279">
        <v>20</v>
      </c>
      <c r="G406" s="9">
        <v>2385</v>
      </c>
      <c r="H406" s="279">
        <v>20</v>
      </c>
      <c r="I406" s="278">
        <f t="shared" si="45"/>
        <v>104847</v>
      </c>
      <c r="J406" s="34">
        <f t="shared" si="42"/>
        <v>4533</v>
      </c>
      <c r="K406" s="34">
        <f t="shared" si="44"/>
        <v>4533</v>
      </c>
      <c r="L406" s="8"/>
    </row>
    <row r="407" spans="1:12" x14ac:dyDescent="0.2">
      <c r="A407" s="1" t="s">
        <v>82</v>
      </c>
      <c r="B407" s="1"/>
      <c r="C407" s="275">
        <f>1778.59-0.01</f>
        <v>1778.58</v>
      </c>
      <c r="D407" s="275">
        <v>58.05</v>
      </c>
      <c r="F407" s="279">
        <v>21</v>
      </c>
      <c r="G407" s="9">
        <v>2490</v>
      </c>
      <c r="H407" s="279">
        <v>21</v>
      </c>
      <c r="I407" s="278">
        <f t="shared" si="45"/>
        <v>109380</v>
      </c>
      <c r="J407" s="34">
        <f t="shared" si="42"/>
        <v>4533</v>
      </c>
      <c r="K407" s="34">
        <f t="shared" si="44"/>
        <v>4533</v>
      </c>
      <c r="L407" s="8"/>
    </row>
    <row r="408" spans="1:12" x14ac:dyDescent="0.2">
      <c r="A408" s="1" t="s">
        <v>81</v>
      </c>
      <c r="B408" s="1"/>
      <c r="C408" s="275">
        <v>1733.84</v>
      </c>
      <c r="D408" s="275">
        <f>87.6+0.01</f>
        <v>87.61</v>
      </c>
      <c r="F408" s="279">
        <v>22</v>
      </c>
      <c r="G408" s="9">
        <v>2595</v>
      </c>
      <c r="H408" s="279">
        <v>22</v>
      </c>
      <c r="I408" s="278">
        <f t="shared" si="45"/>
        <v>113913</v>
      </c>
      <c r="J408" s="34">
        <f t="shared" si="42"/>
        <v>4533</v>
      </c>
      <c r="K408" s="34">
        <f t="shared" si="44"/>
        <v>4533</v>
      </c>
      <c r="L408" s="8"/>
    </row>
    <row r="409" spans="1:12" x14ac:dyDescent="0.2">
      <c r="A409" s="1" t="s">
        <v>20</v>
      </c>
      <c r="B409" s="1"/>
      <c r="C409" s="275">
        <v>856.1</v>
      </c>
      <c r="D409" s="275">
        <v>14.97</v>
      </c>
      <c r="F409" s="279">
        <v>23</v>
      </c>
      <c r="G409" s="9">
        <v>2700</v>
      </c>
      <c r="H409" s="279">
        <v>23</v>
      </c>
      <c r="I409" s="278">
        <f t="shared" si="45"/>
        <v>118446</v>
      </c>
      <c r="J409" s="34">
        <f t="shared" si="42"/>
        <v>4533</v>
      </c>
      <c r="K409" s="34">
        <f t="shared" si="44"/>
        <v>4533</v>
      </c>
      <c r="L409" s="8"/>
    </row>
    <row r="410" spans="1:12" x14ac:dyDescent="0.2">
      <c r="A410" s="1"/>
      <c r="B410" s="4"/>
      <c r="C410" s="18"/>
      <c r="D410" s="18"/>
      <c r="F410" s="279">
        <v>24</v>
      </c>
      <c r="G410" s="9">
        <v>2805</v>
      </c>
      <c r="H410" s="279">
        <v>24</v>
      </c>
      <c r="I410" s="278">
        <f t="shared" si="45"/>
        <v>122979</v>
      </c>
      <c r="J410" s="34">
        <f t="shared" si="42"/>
        <v>4533</v>
      </c>
      <c r="K410" s="34">
        <f t="shared" si="44"/>
        <v>4533</v>
      </c>
      <c r="L410" s="8"/>
    </row>
    <row r="411" spans="1:12" x14ac:dyDescent="0.2">
      <c r="A411" s="1" t="s">
        <v>27</v>
      </c>
      <c r="B411" s="1"/>
      <c r="C411" s="17"/>
      <c r="D411" s="17"/>
      <c r="F411" s="279">
        <v>25</v>
      </c>
      <c r="G411" s="9">
        <v>2910</v>
      </c>
      <c r="H411" s="279">
        <v>25</v>
      </c>
      <c r="I411" s="278">
        <f t="shared" si="45"/>
        <v>127512</v>
      </c>
      <c r="J411" s="34">
        <f t="shared" si="42"/>
        <v>4533</v>
      </c>
      <c r="K411" s="34">
        <f t="shared" si="44"/>
        <v>4533</v>
      </c>
      <c r="L411" s="8"/>
    </row>
    <row r="412" spans="1:12" x14ac:dyDescent="0.2">
      <c r="A412" s="1" t="s">
        <v>21</v>
      </c>
      <c r="B412" s="1"/>
      <c r="C412" s="275">
        <v>3353.16</v>
      </c>
      <c r="D412" s="275">
        <v>19.600000000000001</v>
      </c>
      <c r="F412" s="279">
        <v>26</v>
      </c>
      <c r="G412" s="9">
        <v>3015</v>
      </c>
      <c r="H412" s="279">
        <v>26</v>
      </c>
      <c r="I412" s="278">
        <f t="shared" si="45"/>
        <v>132045</v>
      </c>
      <c r="J412" s="34">
        <f t="shared" si="42"/>
        <v>4533</v>
      </c>
      <c r="K412" s="34">
        <f t="shared" si="44"/>
        <v>4533</v>
      </c>
      <c r="L412" s="8"/>
    </row>
    <row r="413" spans="1:12" x14ac:dyDescent="0.2">
      <c r="A413" s="1" t="s">
        <v>22</v>
      </c>
      <c r="B413" s="1"/>
      <c r="C413" s="275">
        <v>497.12</v>
      </c>
      <c r="D413" s="275">
        <v>3.45</v>
      </c>
      <c r="F413" s="279">
        <v>27</v>
      </c>
      <c r="G413" s="9">
        <v>3120</v>
      </c>
      <c r="H413" s="279">
        <v>27</v>
      </c>
      <c r="I413" s="278">
        <f t="shared" si="45"/>
        <v>136578</v>
      </c>
      <c r="J413" s="34">
        <f t="shared" si="42"/>
        <v>4533</v>
      </c>
      <c r="K413" s="34">
        <f t="shared" si="44"/>
        <v>4533</v>
      </c>
      <c r="L413" s="8"/>
    </row>
    <row r="414" spans="1:12" x14ac:dyDescent="0.2">
      <c r="A414" s="1" t="s">
        <v>23</v>
      </c>
      <c r="B414" s="1"/>
      <c r="C414" s="275">
        <v>1851.54</v>
      </c>
      <c r="D414" s="275">
        <v>19.79</v>
      </c>
      <c r="F414" s="279">
        <v>28</v>
      </c>
      <c r="G414" s="9">
        <v>3225</v>
      </c>
      <c r="H414" s="279">
        <v>28</v>
      </c>
      <c r="I414" s="278">
        <f t="shared" si="45"/>
        <v>141111</v>
      </c>
      <c r="J414" s="34">
        <f t="shared" si="42"/>
        <v>4533</v>
      </c>
      <c r="K414" s="34">
        <f t="shared" si="44"/>
        <v>4533</v>
      </c>
      <c r="L414" s="8"/>
    </row>
    <row r="415" spans="1:12" x14ac:dyDescent="0.2">
      <c r="A415" s="4"/>
      <c r="B415" s="4"/>
      <c r="C415" s="18"/>
      <c r="D415" s="18"/>
      <c r="F415" s="279">
        <v>29</v>
      </c>
      <c r="G415" s="9">
        <v>3330</v>
      </c>
      <c r="H415" s="279">
        <v>29</v>
      </c>
      <c r="I415" s="278">
        <f t="shared" si="45"/>
        <v>145644</v>
      </c>
      <c r="J415" s="34">
        <f t="shared" si="42"/>
        <v>4533</v>
      </c>
      <c r="K415" s="34">
        <f t="shared" si="44"/>
        <v>4533</v>
      </c>
      <c r="L415" s="8"/>
    </row>
    <row r="416" spans="1:12" x14ac:dyDescent="0.2">
      <c r="A416" s="1" t="s">
        <v>133</v>
      </c>
      <c r="B416" s="1"/>
      <c r="C416" s="19">
        <f>SUM(C398:C414)</f>
        <v>12801.09</v>
      </c>
      <c r="D416" s="19">
        <f>SUM(D398:D414)</f>
        <v>290.8</v>
      </c>
      <c r="F416" s="279">
        <v>30</v>
      </c>
      <c r="G416" s="9">
        <v>3435</v>
      </c>
      <c r="H416" s="279">
        <v>30</v>
      </c>
      <c r="I416" s="278">
        <f t="shared" si="45"/>
        <v>150177</v>
      </c>
      <c r="J416" s="34">
        <f t="shared" si="42"/>
        <v>4533</v>
      </c>
      <c r="K416" s="34">
        <f t="shared" si="44"/>
        <v>4533</v>
      </c>
      <c r="L416" s="8"/>
    </row>
    <row r="417" spans="1:12" x14ac:dyDescent="0.2">
      <c r="A417" s="4"/>
      <c r="B417" s="4"/>
      <c r="C417" s="18"/>
      <c r="D417" s="18"/>
      <c r="F417" s="279">
        <v>31</v>
      </c>
      <c r="G417" s="9">
        <v>3540</v>
      </c>
      <c r="H417" s="279">
        <v>31</v>
      </c>
      <c r="I417" s="278">
        <f t="shared" si="45"/>
        <v>154710</v>
      </c>
      <c r="J417" s="34">
        <f t="shared" si="42"/>
        <v>4533</v>
      </c>
      <c r="K417" s="34">
        <f t="shared" si="44"/>
        <v>4533</v>
      </c>
      <c r="L417" s="8"/>
    </row>
    <row r="418" spans="1:12" x14ac:dyDescent="0.2">
      <c r="A418" s="1" t="s">
        <v>134</v>
      </c>
      <c r="B418" s="1"/>
      <c r="C418" s="275">
        <v>106.06</v>
      </c>
      <c r="D418" s="275">
        <v>18.989999999999998</v>
      </c>
      <c r="F418" s="279">
        <v>32</v>
      </c>
      <c r="G418" s="9">
        <v>3645</v>
      </c>
      <c r="H418" s="279">
        <v>32</v>
      </c>
      <c r="I418" s="278">
        <f t="shared" si="45"/>
        <v>159243</v>
      </c>
      <c r="J418" s="34">
        <f t="shared" si="42"/>
        <v>4533</v>
      </c>
      <c r="K418" s="34">
        <f t="shared" si="44"/>
        <v>4533</v>
      </c>
      <c r="L418" s="8"/>
    </row>
    <row r="419" spans="1:12" x14ac:dyDescent="0.2">
      <c r="A419" s="1" t="s">
        <v>135</v>
      </c>
      <c r="B419" s="1"/>
      <c r="C419" s="275">
        <v>0</v>
      </c>
      <c r="D419" s="275">
        <v>213.42</v>
      </c>
      <c r="F419" s="279">
        <v>33</v>
      </c>
      <c r="G419" s="9">
        <v>3750</v>
      </c>
      <c r="H419" s="279">
        <v>33</v>
      </c>
      <c r="I419" s="278">
        <f t="shared" si="45"/>
        <v>163776</v>
      </c>
      <c r="J419" s="34">
        <f t="shared" si="42"/>
        <v>4533</v>
      </c>
      <c r="K419" s="34">
        <f t="shared" si="44"/>
        <v>4533</v>
      </c>
      <c r="L419" s="8"/>
    </row>
    <row r="420" spans="1:12" x14ac:dyDescent="0.2">
      <c r="F420" s="279">
        <v>34</v>
      </c>
      <c r="G420" s="9">
        <v>3855</v>
      </c>
      <c r="H420" s="279">
        <v>34</v>
      </c>
      <c r="I420" s="278">
        <f t="shared" si="45"/>
        <v>168309</v>
      </c>
      <c r="J420" s="34">
        <f t="shared" si="42"/>
        <v>4533</v>
      </c>
      <c r="K420" s="34">
        <f t="shared" si="44"/>
        <v>4533</v>
      </c>
      <c r="L420" s="8"/>
    </row>
    <row r="421" spans="1:12" x14ac:dyDescent="0.2">
      <c r="F421" s="279">
        <v>35</v>
      </c>
      <c r="G421" s="9">
        <v>3960</v>
      </c>
      <c r="H421" s="279">
        <v>35</v>
      </c>
      <c r="I421" s="278">
        <f t="shared" si="45"/>
        <v>172842</v>
      </c>
      <c r="J421" s="34">
        <f t="shared" si="42"/>
        <v>4533</v>
      </c>
      <c r="K421" s="34">
        <f t="shared" si="44"/>
        <v>4533</v>
      </c>
      <c r="L421" s="8"/>
    </row>
    <row r="422" spans="1:12" x14ac:dyDescent="0.2">
      <c r="F422" s="9">
        <v>36</v>
      </c>
      <c r="G422" s="9">
        <v>4065</v>
      </c>
      <c r="H422" s="9">
        <v>36</v>
      </c>
      <c r="I422" s="278">
        <f t="shared" si="45"/>
        <v>177375</v>
      </c>
      <c r="J422" s="34">
        <f t="shared" si="42"/>
        <v>4533</v>
      </c>
      <c r="K422" s="34">
        <f t="shared" si="44"/>
        <v>4533</v>
      </c>
      <c r="L422" s="8"/>
    </row>
    <row r="423" spans="1:12" x14ac:dyDescent="0.2">
      <c r="F423" s="9">
        <v>37</v>
      </c>
      <c r="G423" s="9">
        <v>4170</v>
      </c>
      <c r="H423" s="9">
        <v>37</v>
      </c>
      <c r="I423" s="278">
        <f>+I422+K423</f>
        <v>181908</v>
      </c>
      <c r="J423" s="34">
        <f t="shared" si="42"/>
        <v>4533</v>
      </c>
      <c r="K423" s="34">
        <f t="shared" si="44"/>
        <v>4533</v>
      </c>
      <c r="L423" s="8"/>
    </row>
    <row r="424" spans="1:12" x14ac:dyDescent="0.2">
      <c r="F424" s="9">
        <v>38</v>
      </c>
      <c r="G424" s="9">
        <v>4275</v>
      </c>
      <c r="H424" s="9">
        <v>38</v>
      </c>
      <c r="I424" s="278">
        <f t="shared" si="45"/>
        <v>186441</v>
      </c>
      <c r="J424" s="34">
        <f t="shared" si="42"/>
        <v>4533</v>
      </c>
      <c r="K424" s="34">
        <f t="shared" si="44"/>
        <v>4533</v>
      </c>
      <c r="L424" s="8"/>
    </row>
    <row r="425" spans="1:12" x14ac:dyDescent="0.2">
      <c r="F425" s="9">
        <v>39</v>
      </c>
      <c r="G425" s="9">
        <v>4380</v>
      </c>
      <c r="H425" s="9">
        <v>39</v>
      </c>
      <c r="I425" s="278">
        <f t="shared" si="45"/>
        <v>190974</v>
      </c>
      <c r="J425" s="34">
        <f t="shared" si="42"/>
        <v>4533</v>
      </c>
      <c r="K425" s="34">
        <f t="shared" si="44"/>
        <v>4533</v>
      </c>
      <c r="L425" s="8"/>
    </row>
    <row r="426" spans="1:12" x14ac:dyDescent="0.2">
      <c r="F426" s="9">
        <v>40</v>
      </c>
      <c r="G426" s="9">
        <v>4485</v>
      </c>
      <c r="H426" s="9">
        <v>40</v>
      </c>
      <c r="I426" s="278">
        <f t="shared" si="45"/>
        <v>195507</v>
      </c>
      <c r="J426" s="34">
        <f t="shared" si="42"/>
        <v>4533</v>
      </c>
      <c r="K426" s="34">
        <f t="shared" si="44"/>
        <v>4533</v>
      </c>
      <c r="L426" s="8"/>
    </row>
    <row r="427" spans="1:12" x14ac:dyDescent="0.2">
      <c r="F427" s="9">
        <v>41</v>
      </c>
      <c r="G427" s="9">
        <v>4590</v>
      </c>
      <c r="H427" s="9">
        <v>41</v>
      </c>
      <c r="I427" s="278">
        <f t="shared" si="45"/>
        <v>200040</v>
      </c>
      <c r="J427" s="34">
        <f t="shared" si="42"/>
        <v>4533</v>
      </c>
      <c r="K427" s="34">
        <f t="shared" si="44"/>
        <v>4533</v>
      </c>
      <c r="L427" s="8"/>
    </row>
    <row r="428" spans="1:12" x14ac:dyDescent="0.2">
      <c r="F428" s="9">
        <v>42</v>
      </c>
      <c r="G428" s="9">
        <v>4695</v>
      </c>
      <c r="H428" s="9">
        <v>42</v>
      </c>
      <c r="I428" s="278">
        <f t="shared" si="45"/>
        <v>204573</v>
      </c>
      <c r="J428" s="34">
        <f t="shared" si="42"/>
        <v>4533</v>
      </c>
      <c r="K428" s="34">
        <f t="shared" si="44"/>
        <v>4533</v>
      </c>
      <c r="L428" s="8"/>
    </row>
    <row r="429" spans="1:12" x14ac:dyDescent="0.2">
      <c r="F429" s="9">
        <v>43</v>
      </c>
      <c r="G429" s="9">
        <v>4800</v>
      </c>
      <c r="H429" s="9">
        <v>43</v>
      </c>
      <c r="I429" s="278">
        <f t="shared" si="45"/>
        <v>209106</v>
      </c>
      <c r="J429" s="34">
        <f t="shared" si="42"/>
        <v>4533</v>
      </c>
      <c r="K429" s="34">
        <f t="shared" si="44"/>
        <v>4533</v>
      </c>
      <c r="L429" s="8"/>
    </row>
    <row r="430" spans="1:12" x14ac:dyDescent="0.2">
      <c r="F430" s="9">
        <v>44</v>
      </c>
      <c r="G430" s="9">
        <v>4905</v>
      </c>
      <c r="H430" s="9">
        <v>44</v>
      </c>
      <c r="I430" s="278">
        <f t="shared" si="45"/>
        <v>213639</v>
      </c>
      <c r="J430" s="34">
        <f t="shared" si="42"/>
        <v>4533</v>
      </c>
      <c r="K430" s="34">
        <f t="shared" si="44"/>
        <v>4533</v>
      </c>
      <c r="L430" s="8"/>
    </row>
    <row r="431" spans="1:12" x14ac:dyDescent="0.2">
      <c r="F431" s="9">
        <v>45</v>
      </c>
      <c r="G431" s="9">
        <v>5010</v>
      </c>
      <c r="H431" s="9">
        <v>45</v>
      </c>
      <c r="I431" s="278">
        <f t="shared" si="45"/>
        <v>218172</v>
      </c>
      <c r="J431" s="34">
        <f t="shared" si="42"/>
        <v>4533</v>
      </c>
      <c r="K431" s="34">
        <f t="shared" si="44"/>
        <v>4533</v>
      </c>
      <c r="L431" s="8"/>
    </row>
    <row r="432" spans="1:12" x14ac:dyDescent="0.2">
      <c r="F432" s="9">
        <v>46</v>
      </c>
      <c r="G432" s="9">
        <v>5115</v>
      </c>
      <c r="H432" s="9">
        <v>46</v>
      </c>
      <c r="I432" s="278">
        <f>+I431+K432</f>
        <v>222705</v>
      </c>
      <c r="J432" s="34">
        <f>+I432-I431</f>
        <v>4533</v>
      </c>
      <c r="K432" s="34">
        <f>K431</f>
        <v>4533</v>
      </c>
      <c r="L432" s="8"/>
    </row>
    <row r="433" spans="1:15" x14ac:dyDescent="0.2">
      <c r="F433" s="9">
        <v>47</v>
      </c>
      <c r="G433" s="9">
        <v>5220</v>
      </c>
      <c r="H433" s="9">
        <v>47</v>
      </c>
      <c r="I433" s="278">
        <f>+I432+K433</f>
        <v>227238</v>
      </c>
      <c r="J433" s="34">
        <f>+I433-I432</f>
        <v>4533</v>
      </c>
      <c r="K433" s="34">
        <f>K432</f>
        <v>4533</v>
      </c>
      <c r="L433" s="8"/>
    </row>
    <row r="434" spans="1:15" x14ac:dyDescent="0.2">
      <c r="F434" s="9">
        <v>48</v>
      </c>
      <c r="G434" s="9">
        <v>5325</v>
      </c>
      <c r="H434" s="9">
        <v>48</v>
      </c>
      <c r="I434" s="278">
        <f>+I433+K434</f>
        <v>231771</v>
      </c>
      <c r="J434" s="34">
        <f>+I434-I433</f>
        <v>4533</v>
      </c>
      <c r="K434" s="34">
        <f>K433</f>
        <v>4533</v>
      </c>
      <c r="L434" s="8"/>
    </row>
    <row r="435" spans="1:15" x14ac:dyDescent="0.2">
      <c r="F435" s="9">
        <v>49</v>
      </c>
      <c r="G435" s="9">
        <v>5430</v>
      </c>
      <c r="H435" s="9">
        <v>49</v>
      </c>
      <c r="I435" s="278">
        <f>+I434+K435</f>
        <v>236304</v>
      </c>
      <c r="J435" s="34">
        <f>+I435-I434</f>
        <v>4533</v>
      </c>
      <c r="K435" s="34">
        <f>K434</f>
        <v>4533</v>
      </c>
      <c r="L435" s="8"/>
    </row>
    <row r="436" spans="1:15" x14ac:dyDescent="0.2">
      <c r="F436" s="9">
        <v>50</v>
      </c>
      <c r="G436" s="9">
        <v>5535</v>
      </c>
      <c r="H436" s="9">
        <v>50</v>
      </c>
      <c r="I436" s="278">
        <f>+I435+K436</f>
        <v>240837</v>
      </c>
      <c r="J436" s="34">
        <f>+I436-I435</f>
        <v>4533</v>
      </c>
      <c r="K436" s="34">
        <f>K435</f>
        <v>4533</v>
      </c>
      <c r="L436" s="8"/>
    </row>
    <row r="438" spans="1:15" x14ac:dyDescent="0.2">
      <c r="A438" s="37" t="s">
        <v>163</v>
      </c>
    </row>
    <row r="439" spans="1:15" x14ac:dyDescent="0.2">
      <c r="A439" s="4" t="s">
        <v>7</v>
      </c>
      <c r="B439" s="1"/>
      <c r="C439" s="741">
        <v>2010</v>
      </c>
      <c r="D439" s="743"/>
      <c r="F439" s="1" t="s">
        <v>76</v>
      </c>
      <c r="G439" s="1" t="s">
        <v>59</v>
      </c>
      <c r="H439" s="1" t="s">
        <v>76</v>
      </c>
      <c r="I439" s="1" t="s">
        <v>36</v>
      </c>
      <c r="J439" s="1" t="s">
        <v>77</v>
      </c>
      <c r="K439" s="22" t="s">
        <v>78</v>
      </c>
      <c r="L439" s="1" t="s">
        <v>136</v>
      </c>
    </row>
    <row r="440" spans="1:15" x14ac:dyDescent="0.2">
      <c r="A440" s="1" t="s">
        <v>8</v>
      </c>
      <c r="B440" s="1"/>
      <c r="C440" s="16"/>
      <c r="F440" s="1" t="s">
        <v>58</v>
      </c>
      <c r="G440" s="1" t="s">
        <v>60</v>
      </c>
      <c r="H440" s="1"/>
      <c r="I440" s="1"/>
      <c r="J440" s="1"/>
      <c r="K440" s="1"/>
      <c r="L440" s="22" t="s">
        <v>79</v>
      </c>
      <c r="N440" s="20" t="s">
        <v>75</v>
      </c>
      <c r="O440" s="1"/>
    </row>
    <row r="441" spans="1:15" x14ac:dyDescent="0.2">
      <c r="A441" s="1" t="s">
        <v>9</v>
      </c>
      <c r="B441" s="1"/>
      <c r="C441" s="275">
        <v>1302.28</v>
      </c>
      <c r="D441" s="275">
        <v>13.72</v>
      </c>
      <c r="F441" s="9">
        <v>0</v>
      </c>
      <c r="G441" s="9">
        <v>0</v>
      </c>
      <c r="H441" s="9">
        <v>0</v>
      </c>
      <c r="I441" s="278">
        <v>0</v>
      </c>
      <c r="J441" s="8"/>
      <c r="K441" s="8"/>
      <c r="L441" s="8"/>
      <c r="N441" s="21" t="s">
        <v>33</v>
      </c>
      <c r="O441" s="277">
        <v>9</v>
      </c>
    </row>
    <row r="442" spans="1:15" x14ac:dyDescent="0.2">
      <c r="A442" s="1" t="s">
        <v>10</v>
      </c>
      <c r="B442" s="1"/>
      <c r="C442" s="275">
        <v>43.88</v>
      </c>
      <c r="D442" s="275">
        <v>0.43</v>
      </c>
      <c r="F442" s="279">
        <v>2</v>
      </c>
      <c r="G442" s="9">
        <v>375</v>
      </c>
      <c r="H442" s="279">
        <v>2</v>
      </c>
      <c r="I442" s="281">
        <v>17721</v>
      </c>
      <c r="J442" s="8"/>
      <c r="K442" s="8"/>
      <c r="L442" s="8"/>
      <c r="N442" s="273" t="s">
        <v>34</v>
      </c>
      <c r="O442" s="277">
        <v>6.17</v>
      </c>
    </row>
    <row r="443" spans="1:15" x14ac:dyDescent="0.2">
      <c r="A443" s="1" t="s">
        <v>11</v>
      </c>
      <c r="B443" s="1"/>
      <c r="C443" s="275">
        <v>0</v>
      </c>
      <c r="D443" s="275">
        <v>18.27</v>
      </c>
      <c r="F443" s="279">
        <v>3</v>
      </c>
      <c r="G443" s="9">
        <v>495</v>
      </c>
      <c r="H443" s="279">
        <v>3</v>
      </c>
      <c r="I443" s="281">
        <v>22801</v>
      </c>
      <c r="J443" s="34">
        <f t="shared" ref="J443:J490" si="46">+I443-I442</f>
        <v>5080</v>
      </c>
      <c r="K443" s="8"/>
      <c r="L443" s="8"/>
      <c r="N443" s="273" t="s">
        <v>35</v>
      </c>
      <c r="O443" s="277">
        <v>3.2</v>
      </c>
    </row>
    <row r="444" spans="1:15" x14ac:dyDescent="0.2">
      <c r="A444" s="1" t="s">
        <v>12</v>
      </c>
      <c r="B444" s="4"/>
      <c r="C444" s="64"/>
      <c r="D444" s="64"/>
      <c r="F444" s="279">
        <v>4</v>
      </c>
      <c r="G444" s="9">
        <v>650</v>
      </c>
      <c r="H444" s="279">
        <v>4</v>
      </c>
      <c r="I444" s="281">
        <v>29362</v>
      </c>
      <c r="J444" s="34">
        <f t="shared" si="46"/>
        <v>6561</v>
      </c>
      <c r="K444" s="8"/>
      <c r="L444" s="8"/>
      <c r="N444" s="273" t="s">
        <v>61</v>
      </c>
      <c r="O444" s="277">
        <v>280</v>
      </c>
    </row>
    <row r="445" spans="1:15" x14ac:dyDescent="0.2">
      <c r="A445" s="1" t="s">
        <v>13</v>
      </c>
      <c r="B445" s="1"/>
      <c r="C445" s="275">
        <v>84.26</v>
      </c>
      <c r="D445" s="275">
        <v>1.47</v>
      </c>
      <c r="F445" s="279">
        <v>5</v>
      </c>
      <c r="G445" s="9">
        <v>785</v>
      </c>
      <c r="H445" s="279">
        <v>5</v>
      </c>
      <c r="I445" s="281">
        <v>35077</v>
      </c>
      <c r="J445" s="34">
        <f t="shared" si="46"/>
        <v>5715</v>
      </c>
      <c r="K445" s="8"/>
      <c r="L445" s="8"/>
      <c r="N445" s="273" t="s">
        <v>62</v>
      </c>
      <c r="O445" s="277">
        <v>2.06</v>
      </c>
    </row>
    <row r="446" spans="1:15" x14ac:dyDescent="0.2">
      <c r="A446" s="1" t="s">
        <v>14</v>
      </c>
      <c r="B446" s="1"/>
      <c r="C446" s="275">
        <v>29.56</v>
      </c>
      <c r="D446" s="275">
        <v>6.13</v>
      </c>
      <c r="F446" s="279">
        <v>6</v>
      </c>
      <c r="G446" s="9">
        <v>875</v>
      </c>
      <c r="H446" s="279">
        <v>6</v>
      </c>
      <c r="I446" s="281">
        <v>38886</v>
      </c>
      <c r="J446" s="34">
        <f t="shared" si="46"/>
        <v>3809</v>
      </c>
      <c r="K446" s="8"/>
      <c r="L446" s="8"/>
      <c r="N446" s="2" t="s">
        <v>48</v>
      </c>
      <c r="O446" s="282">
        <v>179</v>
      </c>
    </row>
    <row r="447" spans="1:15" x14ac:dyDescent="0.2">
      <c r="A447" s="1" t="s">
        <v>24</v>
      </c>
      <c r="B447" s="1"/>
      <c r="C447" s="275">
        <v>38.56</v>
      </c>
      <c r="D447" s="275">
        <v>0.42</v>
      </c>
      <c r="F447" s="279">
        <v>7</v>
      </c>
      <c r="G447" s="9">
        <v>980</v>
      </c>
      <c r="H447" s="279">
        <v>7</v>
      </c>
      <c r="I447" s="278">
        <f t="shared" ref="I447:I453" si="47">+I446+K447</f>
        <v>43331</v>
      </c>
      <c r="J447" s="34">
        <f t="shared" si="46"/>
        <v>4445</v>
      </c>
      <c r="K447" s="275">
        <v>4445</v>
      </c>
      <c r="L447" s="8"/>
    </row>
    <row r="448" spans="1:15" x14ac:dyDescent="0.2">
      <c r="A448" s="1" t="s">
        <v>131</v>
      </c>
      <c r="B448" s="1"/>
      <c r="C448" s="275">
        <v>349</v>
      </c>
      <c r="D448" s="275">
        <v>1.89</v>
      </c>
      <c r="F448" s="279">
        <v>8</v>
      </c>
      <c r="G448" s="9">
        <v>1085</v>
      </c>
      <c r="H448" s="279">
        <v>8</v>
      </c>
      <c r="I448" s="278">
        <f t="shared" si="47"/>
        <v>47776</v>
      </c>
      <c r="J448" s="34">
        <f t="shared" si="46"/>
        <v>4445</v>
      </c>
      <c r="K448" s="34">
        <f>K447</f>
        <v>4445</v>
      </c>
      <c r="L448" s="8"/>
    </row>
    <row r="449" spans="1:12" x14ac:dyDescent="0.2">
      <c r="A449" s="1"/>
      <c r="B449" s="1"/>
      <c r="C449" s="17"/>
      <c r="D449" s="17"/>
      <c r="F449" s="279">
        <v>9</v>
      </c>
      <c r="G449" s="9">
        <v>1190</v>
      </c>
      <c r="H449" s="279">
        <v>9</v>
      </c>
      <c r="I449" s="278">
        <f t="shared" si="47"/>
        <v>52221</v>
      </c>
      <c r="J449" s="34">
        <f t="shared" si="46"/>
        <v>4445</v>
      </c>
      <c r="K449" s="34">
        <f t="shared" ref="K449:K490" si="48">K448</f>
        <v>4445</v>
      </c>
      <c r="L449" s="8"/>
    </row>
    <row r="450" spans="1:12" x14ac:dyDescent="0.2">
      <c r="A450" s="4" t="s">
        <v>15</v>
      </c>
      <c r="B450" s="1"/>
      <c r="C450" s="18"/>
      <c r="D450" s="18"/>
      <c r="F450" s="279">
        <v>10</v>
      </c>
      <c r="G450" s="9">
        <v>1295</v>
      </c>
      <c r="H450" s="279">
        <v>10</v>
      </c>
      <c r="I450" s="278">
        <f t="shared" si="47"/>
        <v>56666</v>
      </c>
      <c r="J450" s="34">
        <f t="shared" si="46"/>
        <v>4445</v>
      </c>
      <c r="K450" s="34">
        <f t="shared" si="48"/>
        <v>4445</v>
      </c>
      <c r="L450" s="8"/>
    </row>
    <row r="451" spans="1:12" x14ac:dyDescent="0.2">
      <c r="A451" s="1" t="s">
        <v>26</v>
      </c>
      <c r="B451" s="1"/>
      <c r="C451" s="18"/>
      <c r="D451" s="18"/>
      <c r="F451" s="279">
        <v>11</v>
      </c>
      <c r="G451" s="9">
        <v>1400</v>
      </c>
      <c r="H451" s="279">
        <v>11</v>
      </c>
      <c r="I451" s="278">
        <f t="shared" si="47"/>
        <v>61111</v>
      </c>
      <c r="J451" s="34">
        <f t="shared" si="46"/>
        <v>4445</v>
      </c>
      <c r="K451" s="34">
        <f t="shared" si="48"/>
        <v>4445</v>
      </c>
      <c r="L451" s="8"/>
    </row>
    <row r="452" spans="1:12" x14ac:dyDescent="0.2">
      <c r="A452" s="1" t="s">
        <v>16</v>
      </c>
      <c r="B452" s="1"/>
      <c r="C452" s="275">
        <v>9.2100000000000009</v>
      </c>
      <c r="D452" s="275">
        <v>1.73</v>
      </c>
      <c r="F452" s="279">
        <v>12</v>
      </c>
      <c r="G452" s="9">
        <v>1505</v>
      </c>
      <c r="H452" s="279">
        <v>12</v>
      </c>
      <c r="I452" s="278">
        <f t="shared" si="47"/>
        <v>65556</v>
      </c>
      <c r="J452" s="34">
        <f t="shared" si="46"/>
        <v>4445</v>
      </c>
      <c r="K452" s="34">
        <f t="shared" si="48"/>
        <v>4445</v>
      </c>
      <c r="L452" s="8"/>
    </row>
    <row r="453" spans="1:12" x14ac:dyDescent="0.2">
      <c r="A453" s="1" t="s">
        <v>25</v>
      </c>
      <c r="B453" s="1"/>
      <c r="C453" s="275">
        <v>9.2100000000000009</v>
      </c>
      <c r="D453" s="275">
        <v>0.97</v>
      </c>
      <c r="F453" s="279">
        <v>13</v>
      </c>
      <c r="G453" s="9">
        <v>1610</v>
      </c>
      <c r="H453" s="279">
        <v>13</v>
      </c>
      <c r="I453" s="278">
        <f t="shared" si="47"/>
        <v>70001</v>
      </c>
      <c r="J453" s="34">
        <f t="shared" si="46"/>
        <v>4445</v>
      </c>
      <c r="K453" s="34">
        <f t="shared" si="48"/>
        <v>4445</v>
      </c>
      <c r="L453" s="8"/>
    </row>
    <row r="454" spans="1:12" x14ac:dyDescent="0.2">
      <c r="A454" s="1" t="s">
        <v>17</v>
      </c>
      <c r="B454" s="1"/>
      <c r="C454" s="275">
        <v>25.68</v>
      </c>
      <c r="D454" s="275">
        <v>0.14000000000000001</v>
      </c>
      <c r="F454" s="279">
        <v>14</v>
      </c>
      <c r="G454" s="9">
        <v>1755</v>
      </c>
      <c r="H454" s="279">
        <v>14</v>
      </c>
      <c r="I454" s="278">
        <f>+I453+K454+L454</f>
        <v>76139</v>
      </c>
      <c r="J454" s="34">
        <f t="shared" si="46"/>
        <v>6138</v>
      </c>
      <c r="K454" s="34">
        <f t="shared" si="48"/>
        <v>4445</v>
      </c>
      <c r="L454" s="275">
        <v>1693</v>
      </c>
    </row>
    <row r="455" spans="1:12" x14ac:dyDescent="0.2">
      <c r="A455" s="1" t="s">
        <v>18</v>
      </c>
      <c r="B455" s="1"/>
      <c r="C455" s="275">
        <v>94.75</v>
      </c>
      <c r="D455" s="275">
        <v>3.96</v>
      </c>
      <c r="F455" s="279">
        <v>15</v>
      </c>
      <c r="G455" s="9">
        <f>+G454+105</f>
        <v>1860</v>
      </c>
      <c r="H455" s="279">
        <v>15</v>
      </c>
      <c r="I455" s="278">
        <f t="shared" ref="I455:I490" si="49">+I454+K455</f>
        <v>80584</v>
      </c>
      <c r="J455" s="34">
        <f t="shared" si="46"/>
        <v>4445</v>
      </c>
      <c r="K455" s="34">
        <f t="shared" si="48"/>
        <v>4445</v>
      </c>
      <c r="L455" s="8"/>
    </row>
    <row r="456" spans="1:12" x14ac:dyDescent="0.2">
      <c r="A456" s="1" t="s">
        <v>85</v>
      </c>
      <c r="B456" s="1"/>
      <c r="C456" s="275">
        <v>276.43</v>
      </c>
      <c r="D456" s="275">
        <v>9.98</v>
      </c>
      <c r="F456" s="279">
        <v>16</v>
      </c>
      <c r="G456" s="9">
        <f t="shared" ref="G456:G490" si="50">+G455+105</f>
        <v>1965</v>
      </c>
      <c r="H456" s="279">
        <v>16</v>
      </c>
      <c r="I456" s="278">
        <f t="shared" si="49"/>
        <v>85029</v>
      </c>
      <c r="J456" s="34">
        <f t="shared" si="46"/>
        <v>4445</v>
      </c>
      <c r="K456" s="34">
        <f t="shared" si="48"/>
        <v>4445</v>
      </c>
      <c r="L456" s="8"/>
    </row>
    <row r="457" spans="1:12" x14ac:dyDescent="0.2">
      <c r="A457" s="1" t="s">
        <v>86</v>
      </c>
      <c r="B457" s="1"/>
      <c r="C457" s="275">
        <v>0</v>
      </c>
      <c r="D457" s="275">
        <v>23.4</v>
      </c>
      <c r="F457" s="279">
        <v>17</v>
      </c>
      <c r="G457" s="9">
        <f t="shared" si="50"/>
        <v>2070</v>
      </c>
      <c r="H457" s="279">
        <v>17</v>
      </c>
      <c r="I457" s="278">
        <f t="shared" si="49"/>
        <v>89474</v>
      </c>
      <c r="J457" s="34">
        <f t="shared" si="46"/>
        <v>4445</v>
      </c>
      <c r="K457" s="34">
        <f t="shared" si="48"/>
        <v>4445</v>
      </c>
      <c r="L457" s="8"/>
    </row>
    <row r="458" spans="1:12" x14ac:dyDescent="0.2">
      <c r="A458" s="1" t="s">
        <v>132</v>
      </c>
      <c r="B458" s="1"/>
      <c r="C458" s="275">
        <v>477.09</v>
      </c>
      <c r="D458" s="275">
        <v>2.5099999999999998</v>
      </c>
      <c r="F458" s="279">
        <v>18</v>
      </c>
      <c r="G458" s="9">
        <f t="shared" si="50"/>
        <v>2175</v>
      </c>
      <c r="H458" s="279">
        <v>18</v>
      </c>
      <c r="I458" s="278">
        <f t="shared" si="49"/>
        <v>93919</v>
      </c>
      <c r="J458" s="34">
        <f t="shared" si="46"/>
        <v>4445</v>
      </c>
      <c r="K458" s="34">
        <f t="shared" si="48"/>
        <v>4445</v>
      </c>
      <c r="L458" s="8"/>
    </row>
    <row r="459" spans="1:12" x14ac:dyDescent="0.2">
      <c r="A459" s="1" t="s">
        <v>19</v>
      </c>
      <c r="B459" s="1"/>
      <c r="C459" s="275">
        <v>110.67</v>
      </c>
      <c r="D459" s="275">
        <v>0.22</v>
      </c>
      <c r="F459" s="279">
        <v>19</v>
      </c>
      <c r="G459" s="9">
        <f t="shared" si="50"/>
        <v>2280</v>
      </c>
      <c r="H459" s="279">
        <v>19</v>
      </c>
      <c r="I459" s="278">
        <f t="shared" si="49"/>
        <v>98364</v>
      </c>
      <c r="J459" s="34">
        <f t="shared" si="46"/>
        <v>4445</v>
      </c>
      <c r="K459" s="34">
        <f t="shared" si="48"/>
        <v>4445</v>
      </c>
      <c r="L459" s="8"/>
    </row>
    <row r="460" spans="1:12" x14ac:dyDescent="0.2">
      <c r="A460" s="1" t="s">
        <v>80</v>
      </c>
      <c r="B460" s="1"/>
      <c r="C460" s="275">
        <v>1674.43</v>
      </c>
      <c r="D460" s="275">
        <v>42.73</v>
      </c>
      <c r="F460" s="279">
        <v>20</v>
      </c>
      <c r="G460" s="9">
        <f t="shared" si="50"/>
        <v>2385</v>
      </c>
      <c r="H460" s="279">
        <v>20</v>
      </c>
      <c r="I460" s="278">
        <f t="shared" si="49"/>
        <v>102809</v>
      </c>
      <c r="J460" s="34">
        <f t="shared" si="46"/>
        <v>4445</v>
      </c>
      <c r="K460" s="34">
        <f t="shared" si="48"/>
        <v>4445</v>
      </c>
      <c r="L460" s="8"/>
    </row>
    <row r="461" spans="1:12" x14ac:dyDescent="0.2">
      <c r="A461" s="1" t="s">
        <v>82</v>
      </c>
      <c r="B461" s="1"/>
      <c r="C461" s="275">
        <v>1743.88</v>
      </c>
      <c r="D461" s="275">
        <v>56.91</v>
      </c>
      <c r="F461" s="279">
        <v>21</v>
      </c>
      <c r="G461" s="9">
        <f t="shared" si="50"/>
        <v>2490</v>
      </c>
      <c r="H461" s="279">
        <v>21</v>
      </c>
      <c r="I461" s="278">
        <f t="shared" si="49"/>
        <v>107254</v>
      </c>
      <c r="J461" s="34">
        <f t="shared" si="46"/>
        <v>4445</v>
      </c>
      <c r="K461" s="34">
        <f t="shared" si="48"/>
        <v>4445</v>
      </c>
      <c r="L461" s="8"/>
    </row>
    <row r="462" spans="1:12" x14ac:dyDescent="0.2">
      <c r="A462" s="1" t="s">
        <v>81</v>
      </c>
      <c r="B462" s="1"/>
      <c r="C462" s="275">
        <v>1700.01</v>
      </c>
      <c r="D462" s="275">
        <v>85.91</v>
      </c>
      <c r="F462" s="279">
        <v>22</v>
      </c>
      <c r="G462" s="9">
        <f t="shared" si="50"/>
        <v>2595</v>
      </c>
      <c r="H462" s="279">
        <v>22</v>
      </c>
      <c r="I462" s="278">
        <f t="shared" si="49"/>
        <v>111699</v>
      </c>
      <c r="J462" s="34">
        <f t="shared" si="46"/>
        <v>4445</v>
      </c>
      <c r="K462" s="34">
        <f t="shared" si="48"/>
        <v>4445</v>
      </c>
      <c r="L462" s="8"/>
    </row>
    <row r="463" spans="1:12" x14ac:dyDescent="0.2">
      <c r="A463" s="1" t="s">
        <v>20</v>
      </c>
      <c r="B463" s="1"/>
      <c r="C463" s="275">
        <v>839.41</v>
      </c>
      <c r="D463" s="275">
        <v>14.69</v>
      </c>
      <c r="F463" s="279">
        <v>23</v>
      </c>
      <c r="G463" s="9">
        <f t="shared" si="50"/>
        <v>2700</v>
      </c>
      <c r="H463" s="279">
        <v>23</v>
      </c>
      <c r="I463" s="278">
        <f t="shared" si="49"/>
        <v>116144</v>
      </c>
      <c r="J463" s="34">
        <f t="shared" si="46"/>
        <v>4445</v>
      </c>
      <c r="K463" s="34">
        <f t="shared" si="48"/>
        <v>4445</v>
      </c>
      <c r="L463" s="8"/>
    </row>
    <row r="464" spans="1:12" x14ac:dyDescent="0.2">
      <c r="A464" s="1"/>
      <c r="B464" s="4"/>
      <c r="C464" s="18"/>
      <c r="D464" s="18"/>
      <c r="F464" s="279">
        <v>24</v>
      </c>
      <c r="G464" s="9">
        <f t="shared" si="50"/>
        <v>2805</v>
      </c>
      <c r="H464" s="279">
        <v>24</v>
      </c>
      <c r="I464" s="278">
        <f t="shared" si="49"/>
        <v>120589</v>
      </c>
      <c r="J464" s="34">
        <f t="shared" si="46"/>
        <v>4445</v>
      </c>
      <c r="K464" s="34">
        <f t="shared" si="48"/>
        <v>4445</v>
      </c>
      <c r="L464" s="8"/>
    </row>
    <row r="465" spans="1:12" x14ac:dyDescent="0.2">
      <c r="A465" s="1" t="s">
        <v>27</v>
      </c>
      <c r="B465" s="1"/>
      <c r="C465" s="17"/>
      <c r="D465" s="17"/>
      <c r="F465" s="279">
        <v>25</v>
      </c>
      <c r="G465" s="9">
        <f t="shared" si="50"/>
        <v>2910</v>
      </c>
      <c r="H465" s="279">
        <v>25</v>
      </c>
      <c r="I465" s="278">
        <f t="shared" si="49"/>
        <v>125034</v>
      </c>
      <c r="J465" s="34">
        <f t="shared" si="46"/>
        <v>4445</v>
      </c>
      <c r="K465" s="34">
        <f t="shared" si="48"/>
        <v>4445</v>
      </c>
      <c r="L465" s="8"/>
    </row>
    <row r="466" spans="1:12" x14ac:dyDescent="0.2">
      <c r="A466" s="1" t="s">
        <v>21</v>
      </c>
      <c r="B466" s="1"/>
      <c r="C466" s="275">
        <v>3287.73</v>
      </c>
      <c r="D466" s="275">
        <v>19.22</v>
      </c>
      <c r="F466" s="279">
        <v>26</v>
      </c>
      <c r="G466" s="9">
        <f t="shared" si="50"/>
        <v>3015</v>
      </c>
      <c r="H466" s="279">
        <v>26</v>
      </c>
      <c r="I466" s="278">
        <f t="shared" si="49"/>
        <v>129479</v>
      </c>
      <c r="J466" s="34">
        <f t="shared" si="46"/>
        <v>4445</v>
      </c>
      <c r="K466" s="34">
        <f t="shared" si="48"/>
        <v>4445</v>
      </c>
      <c r="L466" s="8"/>
    </row>
    <row r="467" spans="1:12" x14ac:dyDescent="0.2">
      <c r="A467" s="1" t="s">
        <v>22</v>
      </c>
      <c r="B467" s="1"/>
      <c r="C467" s="275">
        <v>487.42</v>
      </c>
      <c r="D467" s="275">
        <v>3.38</v>
      </c>
      <c r="F467" s="279">
        <v>27</v>
      </c>
      <c r="G467" s="9">
        <f t="shared" si="50"/>
        <v>3120</v>
      </c>
      <c r="H467" s="279">
        <v>27</v>
      </c>
      <c r="I467" s="278">
        <f t="shared" si="49"/>
        <v>133924</v>
      </c>
      <c r="J467" s="34">
        <f t="shared" si="46"/>
        <v>4445</v>
      </c>
      <c r="K467" s="34">
        <f t="shared" si="48"/>
        <v>4445</v>
      </c>
      <c r="L467" s="8"/>
    </row>
    <row r="468" spans="1:12" x14ac:dyDescent="0.2">
      <c r="A468" s="1" t="s">
        <v>23</v>
      </c>
      <c r="B468" s="1"/>
      <c r="C468" s="275">
        <v>1815.41</v>
      </c>
      <c r="D468" s="275">
        <v>19.41</v>
      </c>
      <c r="F468" s="279">
        <v>28</v>
      </c>
      <c r="G468" s="9">
        <f t="shared" si="50"/>
        <v>3225</v>
      </c>
      <c r="H468" s="279">
        <v>28</v>
      </c>
      <c r="I468" s="278">
        <f t="shared" si="49"/>
        <v>138369</v>
      </c>
      <c r="J468" s="34">
        <f t="shared" si="46"/>
        <v>4445</v>
      </c>
      <c r="K468" s="34">
        <f t="shared" si="48"/>
        <v>4445</v>
      </c>
      <c r="L468" s="8"/>
    </row>
    <row r="469" spans="1:12" x14ac:dyDescent="0.2">
      <c r="A469" s="4"/>
      <c r="B469" s="4"/>
      <c r="C469" s="18"/>
      <c r="D469" s="18"/>
      <c r="F469" s="279">
        <v>29</v>
      </c>
      <c r="G469" s="9">
        <f t="shared" si="50"/>
        <v>3330</v>
      </c>
      <c r="H469" s="279">
        <v>29</v>
      </c>
      <c r="I469" s="278">
        <f t="shared" si="49"/>
        <v>142814</v>
      </c>
      <c r="J469" s="34">
        <f t="shared" si="46"/>
        <v>4445</v>
      </c>
      <c r="K469" s="34">
        <f t="shared" si="48"/>
        <v>4445</v>
      </c>
      <c r="L469" s="8"/>
    </row>
    <row r="470" spans="1:12" x14ac:dyDescent="0.2">
      <c r="A470" s="1" t="s">
        <v>133</v>
      </c>
      <c r="B470" s="1"/>
      <c r="C470" s="19">
        <f>SUM(C452:C468)</f>
        <v>12551.33</v>
      </c>
      <c r="D470" s="19">
        <f>SUM(D452:D468)</f>
        <v>285.16000000000003</v>
      </c>
      <c r="F470" s="279">
        <v>30</v>
      </c>
      <c r="G470" s="9">
        <f t="shared" si="50"/>
        <v>3435</v>
      </c>
      <c r="H470" s="279">
        <v>30</v>
      </c>
      <c r="I470" s="278">
        <f t="shared" si="49"/>
        <v>147259</v>
      </c>
      <c r="J470" s="34">
        <f t="shared" si="46"/>
        <v>4445</v>
      </c>
      <c r="K470" s="34">
        <f t="shared" si="48"/>
        <v>4445</v>
      </c>
      <c r="L470" s="8"/>
    </row>
    <row r="471" spans="1:12" x14ac:dyDescent="0.2">
      <c r="A471" s="4"/>
      <c r="B471" s="4"/>
      <c r="C471" s="18"/>
      <c r="D471" s="18"/>
      <c r="F471" s="279">
        <v>31</v>
      </c>
      <c r="G471" s="9">
        <f t="shared" si="50"/>
        <v>3540</v>
      </c>
      <c r="H471" s="279">
        <v>31</v>
      </c>
      <c r="I471" s="278">
        <f t="shared" si="49"/>
        <v>151704</v>
      </c>
      <c r="J471" s="34">
        <f t="shared" si="46"/>
        <v>4445</v>
      </c>
      <c r="K471" s="34">
        <f t="shared" si="48"/>
        <v>4445</v>
      </c>
      <c r="L471" s="8"/>
    </row>
    <row r="472" spans="1:12" x14ac:dyDescent="0.2">
      <c r="A472" s="1" t="s">
        <v>134</v>
      </c>
      <c r="B472" s="1"/>
      <c r="C472" s="275">
        <v>103.99</v>
      </c>
      <c r="D472" s="275">
        <v>18.62</v>
      </c>
      <c r="F472" s="279">
        <v>32</v>
      </c>
      <c r="G472" s="9">
        <f t="shared" si="50"/>
        <v>3645</v>
      </c>
      <c r="H472" s="279">
        <v>32</v>
      </c>
      <c r="I472" s="278">
        <f t="shared" si="49"/>
        <v>156149</v>
      </c>
      <c r="J472" s="34">
        <f t="shared" si="46"/>
        <v>4445</v>
      </c>
      <c r="K472" s="34">
        <f t="shared" si="48"/>
        <v>4445</v>
      </c>
      <c r="L472" s="8"/>
    </row>
    <row r="473" spans="1:12" x14ac:dyDescent="0.2">
      <c r="A473" s="1" t="s">
        <v>135</v>
      </c>
      <c r="B473" s="1"/>
      <c r="C473" s="275">
        <v>0</v>
      </c>
      <c r="D473" s="275">
        <v>209.26</v>
      </c>
      <c r="F473" s="279">
        <v>33</v>
      </c>
      <c r="G473" s="9">
        <f t="shared" si="50"/>
        <v>3750</v>
      </c>
      <c r="H473" s="279">
        <v>33</v>
      </c>
      <c r="I473" s="278">
        <f t="shared" si="49"/>
        <v>160594</v>
      </c>
      <c r="J473" s="34">
        <f t="shared" si="46"/>
        <v>4445</v>
      </c>
      <c r="K473" s="34">
        <f t="shared" si="48"/>
        <v>4445</v>
      </c>
      <c r="L473" s="8"/>
    </row>
    <row r="474" spans="1:12" x14ac:dyDescent="0.2">
      <c r="F474" s="279">
        <v>34</v>
      </c>
      <c r="G474" s="9">
        <f t="shared" si="50"/>
        <v>3855</v>
      </c>
      <c r="H474" s="279">
        <v>34</v>
      </c>
      <c r="I474" s="278">
        <f t="shared" si="49"/>
        <v>165039</v>
      </c>
      <c r="J474" s="34">
        <f t="shared" si="46"/>
        <v>4445</v>
      </c>
      <c r="K474" s="34">
        <f t="shared" si="48"/>
        <v>4445</v>
      </c>
      <c r="L474" s="8"/>
    </row>
    <row r="475" spans="1:12" x14ac:dyDescent="0.2">
      <c r="F475" s="279">
        <v>35</v>
      </c>
      <c r="G475" s="9">
        <f t="shared" si="50"/>
        <v>3960</v>
      </c>
      <c r="H475" s="279">
        <v>35</v>
      </c>
      <c r="I475" s="278">
        <f t="shared" si="49"/>
        <v>169484</v>
      </c>
      <c r="J475" s="34">
        <f t="shared" si="46"/>
        <v>4445</v>
      </c>
      <c r="K475" s="34">
        <f t="shared" si="48"/>
        <v>4445</v>
      </c>
      <c r="L475" s="8"/>
    </row>
    <row r="476" spans="1:12" x14ac:dyDescent="0.2">
      <c r="F476" s="9">
        <v>36</v>
      </c>
      <c r="G476" s="9">
        <f t="shared" si="50"/>
        <v>4065</v>
      </c>
      <c r="H476" s="9">
        <v>36</v>
      </c>
      <c r="I476" s="278">
        <f t="shared" si="49"/>
        <v>173929</v>
      </c>
      <c r="J476" s="34">
        <f t="shared" si="46"/>
        <v>4445</v>
      </c>
      <c r="K476" s="34">
        <f t="shared" si="48"/>
        <v>4445</v>
      </c>
      <c r="L476" s="8"/>
    </row>
    <row r="477" spans="1:12" x14ac:dyDescent="0.2">
      <c r="F477" s="9">
        <v>37</v>
      </c>
      <c r="G477" s="9">
        <f t="shared" si="50"/>
        <v>4170</v>
      </c>
      <c r="H477" s="9">
        <v>37</v>
      </c>
      <c r="I477" s="278">
        <f t="shared" si="49"/>
        <v>178374</v>
      </c>
      <c r="J477" s="34">
        <f t="shared" si="46"/>
        <v>4445</v>
      </c>
      <c r="K477" s="34">
        <f t="shared" si="48"/>
        <v>4445</v>
      </c>
      <c r="L477" s="8"/>
    </row>
    <row r="478" spans="1:12" x14ac:dyDescent="0.2">
      <c r="F478" s="9">
        <v>38</v>
      </c>
      <c r="G478" s="9">
        <f t="shared" si="50"/>
        <v>4275</v>
      </c>
      <c r="H478" s="9">
        <v>38</v>
      </c>
      <c r="I478" s="278">
        <f t="shared" si="49"/>
        <v>182819</v>
      </c>
      <c r="J478" s="34">
        <f t="shared" si="46"/>
        <v>4445</v>
      </c>
      <c r="K478" s="34">
        <f t="shared" si="48"/>
        <v>4445</v>
      </c>
      <c r="L478" s="8"/>
    </row>
    <row r="479" spans="1:12" x14ac:dyDescent="0.2">
      <c r="F479" s="9">
        <v>39</v>
      </c>
      <c r="G479" s="9">
        <f t="shared" si="50"/>
        <v>4380</v>
      </c>
      <c r="H479" s="9">
        <v>39</v>
      </c>
      <c r="I479" s="278">
        <f t="shared" si="49"/>
        <v>187264</v>
      </c>
      <c r="J479" s="34">
        <f t="shared" si="46"/>
        <v>4445</v>
      </c>
      <c r="K479" s="34">
        <f t="shared" si="48"/>
        <v>4445</v>
      </c>
      <c r="L479" s="8"/>
    </row>
    <row r="480" spans="1:12" x14ac:dyDescent="0.2">
      <c r="F480" s="9">
        <v>40</v>
      </c>
      <c r="G480" s="9">
        <f t="shared" si="50"/>
        <v>4485</v>
      </c>
      <c r="H480" s="9">
        <v>40</v>
      </c>
      <c r="I480" s="278">
        <f t="shared" si="49"/>
        <v>191709</v>
      </c>
      <c r="J480" s="34">
        <f t="shared" si="46"/>
        <v>4445</v>
      </c>
      <c r="K480" s="34">
        <f t="shared" si="48"/>
        <v>4445</v>
      </c>
      <c r="L480" s="8"/>
    </row>
    <row r="481" spans="1:15" x14ac:dyDescent="0.2">
      <c r="F481" s="9">
        <v>41</v>
      </c>
      <c r="G481" s="9">
        <f t="shared" si="50"/>
        <v>4590</v>
      </c>
      <c r="H481" s="9">
        <v>41</v>
      </c>
      <c r="I481" s="278">
        <f t="shared" si="49"/>
        <v>196154</v>
      </c>
      <c r="J481" s="34">
        <f t="shared" si="46"/>
        <v>4445</v>
      </c>
      <c r="K481" s="34">
        <f t="shared" si="48"/>
        <v>4445</v>
      </c>
      <c r="L481" s="8"/>
    </row>
    <row r="482" spans="1:15" x14ac:dyDescent="0.2">
      <c r="F482" s="9">
        <v>42</v>
      </c>
      <c r="G482" s="9">
        <f t="shared" si="50"/>
        <v>4695</v>
      </c>
      <c r="H482" s="9">
        <v>42</v>
      </c>
      <c r="I482" s="278">
        <f t="shared" si="49"/>
        <v>200599</v>
      </c>
      <c r="J482" s="34">
        <f t="shared" si="46"/>
        <v>4445</v>
      </c>
      <c r="K482" s="34">
        <f t="shared" si="48"/>
        <v>4445</v>
      </c>
      <c r="L482" s="8"/>
    </row>
    <row r="483" spans="1:15" x14ac:dyDescent="0.2">
      <c r="F483" s="9">
        <v>43</v>
      </c>
      <c r="G483" s="9">
        <f t="shared" si="50"/>
        <v>4800</v>
      </c>
      <c r="H483" s="9">
        <v>43</v>
      </c>
      <c r="I483" s="278">
        <f t="shared" si="49"/>
        <v>205044</v>
      </c>
      <c r="J483" s="34">
        <f t="shared" si="46"/>
        <v>4445</v>
      </c>
      <c r="K483" s="34">
        <f t="shared" si="48"/>
        <v>4445</v>
      </c>
      <c r="L483" s="8"/>
    </row>
    <row r="484" spans="1:15" x14ac:dyDescent="0.2">
      <c r="F484" s="9">
        <v>44</v>
      </c>
      <c r="G484" s="9">
        <f t="shared" si="50"/>
        <v>4905</v>
      </c>
      <c r="H484" s="9">
        <v>44</v>
      </c>
      <c r="I484" s="278">
        <f t="shared" si="49"/>
        <v>209489</v>
      </c>
      <c r="J484" s="34">
        <f t="shared" si="46"/>
        <v>4445</v>
      </c>
      <c r="K484" s="34">
        <f t="shared" si="48"/>
        <v>4445</v>
      </c>
      <c r="L484" s="8"/>
    </row>
    <row r="485" spans="1:15" x14ac:dyDescent="0.2">
      <c r="F485" s="9">
        <v>45</v>
      </c>
      <c r="G485" s="9">
        <f t="shared" si="50"/>
        <v>5010</v>
      </c>
      <c r="H485" s="9">
        <v>45</v>
      </c>
      <c r="I485" s="278">
        <f t="shared" si="49"/>
        <v>213934</v>
      </c>
      <c r="J485" s="34">
        <f t="shared" si="46"/>
        <v>4445</v>
      </c>
      <c r="K485" s="34">
        <f t="shared" si="48"/>
        <v>4445</v>
      </c>
      <c r="L485" s="8"/>
    </row>
    <row r="486" spans="1:15" x14ac:dyDescent="0.2">
      <c r="F486" s="9">
        <v>46</v>
      </c>
      <c r="G486" s="9">
        <f t="shared" si="50"/>
        <v>5115</v>
      </c>
      <c r="H486" s="9">
        <v>46</v>
      </c>
      <c r="I486" s="278">
        <f t="shared" si="49"/>
        <v>218379</v>
      </c>
      <c r="J486" s="34">
        <f t="shared" si="46"/>
        <v>4445</v>
      </c>
      <c r="K486" s="34">
        <f t="shared" si="48"/>
        <v>4445</v>
      </c>
      <c r="L486" s="8"/>
    </row>
    <row r="487" spans="1:15" x14ac:dyDescent="0.2">
      <c r="F487" s="9">
        <v>47</v>
      </c>
      <c r="G487" s="9">
        <f t="shared" si="50"/>
        <v>5220</v>
      </c>
      <c r="H487" s="9">
        <v>47</v>
      </c>
      <c r="I487" s="278">
        <f t="shared" si="49"/>
        <v>222824</v>
      </c>
      <c r="J487" s="34">
        <f t="shared" si="46"/>
        <v>4445</v>
      </c>
      <c r="K487" s="34">
        <f t="shared" si="48"/>
        <v>4445</v>
      </c>
      <c r="L487" s="8"/>
    </row>
    <row r="488" spans="1:15" x14ac:dyDescent="0.2">
      <c r="F488" s="9">
        <v>48</v>
      </c>
      <c r="G488" s="9">
        <f t="shared" si="50"/>
        <v>5325</v>
      </c>
      <c r="H488" s="9">
        <v>48</v>
      </c>
      <c r="I488" s="278">
        <f t="shared" si="49"/>
        <v>227269</v>
      </c>
      <c r="J488" s="34">
        <f t="shared" si="46"/>
        <v>4445</v>
      </c>
      <c r="K488" s="34">
        <f t="shared" si="48"/>
        <v>4445</v>
      </c>
      <c r="L488" s="8"/>
    </row>
    <row r="489" spans="1:15" x14ac:dyDescent="0.2">
      <c r="F489" s="9">
        <v>49</v>
      </c>
      <c r="G489" s="9">
        <f t="shared" si="50"/>
        <v>5430</v>
      </c>
      <c r="H489" s="9">
        <v>49</v>
      </c>
      <c r="I489" s="278">
        <f t="shared" si="49"/>
        <v>231714</v>
      </c>
      <c r="J489" s="34">
        <f t="shared" si="46"/>
        <v>4445</v>
      </c>
      <c r="K489" s="34">
        <f t="shared" si="48"/>
        <v>4445</v>
      </c>
      <c r="L489" s="8"/>
    </row>
    <row r="490" spans="1:15" x14ac:dyDescent="0.2">
      <c r="F490" s="9">
        <v>50</v>
      </c>
      <c r="G490" s="9">
        <f t="shared" si="50"/>
        <v>5535</v>
      </c>
      <c r="H490" s="9">
        <v>50</v>
      </c>
      <c r="I490" s="278">
        <f t="shared" si="49"/>
        <v>236159</v>
      </c>
      <c r="J490" s="34">
        <f t="shared" si="46"/>
        <v>4445</v>
      </c>
      <c r="K490" s="34">
        <f t="shared" si="48"/>
        <v>4445</v>
      </c>
      <c r="L490" s="8"/>
    </row>
    <row r="494" spans="1:15" x14ac:dyDescent="0.2">
      <c r="A494" s="4" t="s">
        <v>7</v>
      </c>
      <c r="B494" s="1"/>
      <c r="C494" s="741">
        <v>2009</v>
      </c>
      <c r="D494" s="743"/>
      <c r="F494" s="1" t="s">
        <v>76</v>
      </c>
      <c r="G494" s="1" t="s">
        <v>59</v>
      </c>
      <c r="H494" s="1" t="s">
        <v>76</v>
      </c>
      <c r="I494" s="1" t="s">
        <v>36</v>
      </c>
      <c r="J494" s="1" t="s">
        <v>77</v>
      </c>
      <c r="K494" s="22" t="s">
        <v>78</v>
      </c>
      <c r="L494" s="1" t="s">
        <v>136</v>
      </c>
    </row>
    <row r="495" spans="1:15" x14ac:dyDescent="0.2">
      <c r="A495" s="1" t="s">
        <v>8</v>
      </c>
      <c r="B495" s="1"/>
      <c r="C495" s="16"/>
      <c r="F495" s="1" t="s">
        <v>58</v>
      </c>
      <c r="G495" s="1" t="s">
        <v>60</v>
      </c>
      <c r="H495" s="1"/>
      <c r="I495" s="1"/>
      <c r="J495" s="1"/>
      <c r="K495" s="1"/>
      <c r="L495" s="22" t="s">
        <v>79</v>
      </c>
      <c r="N495" s="20" t="s">
        <v>75</v>
      </c>
      <c r="O495" s="1"/>
    </row>
    <row r="496" spans="1:15" x14ac:dyDescent="0.2">
      <c r="A496" s="1" t="s">
        <v>9</v>
      </c>
      <c r="B496" s="1"/>
      <c r="C496" s="275">
        <v>1304.5</v>
      </c>
      <c r="D496" s="275">
        <v>13.74</v>
      </c>
      <c r="F496" s="9">
        <v>0</v>
      </c>
      <c r="G496" s="9">
        <v>0</v>
      </c>
      <c r="H496" s="9">
        <v>0</v>
      </c>
      <c r="I496" s="278">
        <v>0</v>
      </c>
      <c r="J496" s="8"/>
      <c r="K496" s="8"/>
      <c r="L496" s="8"/>
      <c r="N496" s="21" t="s">
        <v>33</v>
      </c>
      <c r="O496" s="277">
        <v>9</v>
      </c>
    </row>
    <row r="497" spans="1:15" x14ac:dyDescent="0.2">
      <c r="A497" s="1" t="s">
        <v>10</v>
      </c>
      <c r="B497" s="1"/>
      <c r="C497" s="275">
        <v>43.95</v>
      </c>
      <c r="D497" s="275">
        <v>0.43</v>
      </c>
      <c r="F497" s="279">
        <v>2</v>
      </c>
      <c r="G497" s="9">
        <v>375</v>
      </c>
      <c r="H497" s="279">
        <v>2</v>
      </c>
      <c r="I497" s="281">
        <v>17747</v>
      </c>
      <c r="J497" s="8"/>
      <c r="K497" s="8"/>
      <c r="L497" s="8"/>
      <c r="N497" s="273" t="s">
        <v>34</v>
      </c>
      <c r="O497" s="277">
        <v>6.17</v>
      </c>
    </row>
    <row r="498" spans="1:15" x14ac:dyDescent="0.2">
      <c r="A498" s="1" t="s">
        <v>11</v>
      </c>
      <c r="B498" s="1"/>
      <c r="C498" s="275">
        <v>0</v>
      </c>
      <c r="D498" s="275">
        <v>18.3</v>
      </c>
      <c r="F498" s="279">
        <v>3</v>
      </c>
      <c r="G498" s="9">
        <v>495</v>
      </c>
      <c r="H498" s="279">
        <v>3</v>
      </c>
      <c r="I498" s="281">
        <v>22834</v>
      </c>
      <c r="J498" s="34">
        <f t="shared" ref="J498:J545" si="51">+I498-I497</f>
        <v>5087</v>
      </c>
      <c r="K498" s="8"/>
      <c r="L498" s="8"/>
      <c r="N498" s="273" t="s">
        <v>35</v>
      </c>
      <c r="O498" s="277">
        <v>3.2</v>
      </c>
    </row>
    <row r="499" spans="1:15" x14ac:dyDescent="0.2">
      <c r="A499" s="1" t="s">
        <v>12</v>
      </c>
      <c r="B499" s="4"/>
      <c r="C499" s="64"/>
      <c r="D499" s="64"/>
      <c r="F499" s="279">
        <v>4</v>
      </c>
      <c r="G499" s="9">
        <v>650</v>
      </c>
      <c r="H499" s="279">
        <v>4</v>
      </c>
      <c r="I499" s="281">
        <v>29404</v>
      </c>
      <c r="J499" s="34">
        <f t="shared" si="51"/>
        <v>6570</v>
      </c>
      <c r="K499" s="8"/>
      <c r="L499" s="8"/>
      <c r="N499" s="273" t="s">
        <v>61</v>
      </c>
      <c r="O499" s="277">
        <v>280</v>
      </c>
    </row>
    <row r="500" spans="1:15" x14ac:dyDescent="0.2">
      <c r="A500" s="1" t="s">
        <v>13</v>
      </c>
      <c r="B500" s="1"/>
      <c r="C500" s="275">
        <v>84.39</v>
      </c>
      <c r="D500" s="275">
        <v>1.47</v>
      </c>
      <c r="F500" s="279">
        <v>5</v>
      </c>
      <c r="G500" s="9">
        <v>785</v>
      </c>
      <c r="H500" s="279">
        <v>5</v>
      </c>
      <c r="I500" s="281">
        <v>35127</v>
      </c>
      <c r="J500" s="34">
        <f t="shared" si="51"/>
        <v>5723</v>
      </c>
      <c r="K500" s="8"/>
      <c r="L500" s="8"/>
      <c r="N500" s="273" t="s">
        <v>62</v>
      </c>
      <c r="O500" s="277">
        <v>2.06</v>
      </c>
    </row>
    <row r="501" spans="1:15" x14ac:dyDescent="0.2">
      <c r="A501" s="1" t="s">
        <v>14</v>
      </c>
      <c r="B501" s="1"/>
      <c r="C501" s="275">
        <v>29.61</v>
      </c>
      <c r="D501" s="275">
        <v>6.14</v>
      </c>
      <c r="F501" s="279">
        <v>6</v>
      </c>
      <c r="G501" s="9">
        <v>875</v>
      </c>
      <c r="H501" s="279">
        <v>6</v>
      </c>
      <c r="I501" s="281">
        <v>38942</v>
      </c>
      <c r="J501" s="34">
        <f t="shared" si="51"/>
        <v>3815</v>
      </c>
      <c r="K501" s="8"/>
      <c r="L501" s="8"/>
      <c r="N501" s="2" t="s">
        <v>48</v>
      </c>
      <c r="O501" s="282">
        <v>179</v>
      </c>
    </row>
    <row r="502" spans="1:15" x14ac:dyDescent="0.2">
      <c r="A502" s="1" t="s">
        <v>24</v>
      </c>
      <c r="B502" s="1"/>
      <c r="C502" s="275">
        <v>38.630000000000003</v>
      </c>
      <c r="D502" s="275">
        <v>0.42</v>
      </c>
      <c r="F502" s="279">
        <v>7</v>
      </c>
      <c r="G502" s="9">
        <v>980</v>
      </c>
      <c r="H502" s="279">
        <v>7</v>
      </c>
      <c r="I502" s="278">
        <f t="shared" ref="I502:I508" si="52">+I501+K502</f>
        <v>43393</v>
      </c>
      <c r="J502" s="34">
        <f t="shared" si="51"/>
        <v>4451</v>
      </c>
      <c r="K502" s="275">
        <v>4451</v>
      </c>
      <c r="L502" s="8"/>
    </row>
    <row r="503" spans="1:15" x14ac:dyDescent="0.2">
      <c r="A503" s="1" t="s">
        <v>131</v>
      </c>
      <c r="B503" s="1"/>
      <c r="C503" s="275">
        <v>349.59</v>
      </c>
      <c r="D503" s="275">
        <v>1.89</v>
      </c>
      <c r="F503" s="279">
        <v>8</v>
      </c>
      <c r="G503" s="9">
        <v>1085</v>
      </c>
      <c r="H503" s="279">
        <v>8</v>
      </c>
      <c r="I503" s="278">
        <f t="shared" si="52"/>
        <v>47844</v>
      </c>
      <c r="J503" s="34">
        <f t="shared" si="51"/>
        <v>4451</v>
      </c>
      <c r="K503" s="34">
        <f t="shared" ref="K503:K545" si="53">K502</f>
        <v>4451</v>
      </c>
      <c r="L503" s="8"/>
    </row>
    <row r="504" spans="1:15" x14ac:dyDescent="0.2">
      <c r="A504" s="1"/>
      <c r="B504" s="1"/>
      <c r="C504" s="17"/>
      <c r="D504" s="17"/>
      <c r="F504" s="279">
        <v>9</v>
      </c>
      <c r="G504" s="9">
        <v>1190</v>
      </c>
      <c r="H504" s="279">
        <v>9</v>
      </c>
      <c r="I504" s="278">
        <f t="shared" si="52"/>
        <v>52295</v>
      </c>
      <c r="J504" s="34">
        <f t="shared" si="51"/>
        <v>4451</v>
      </c>
      <c r="K504" s="34">
        <f t="shared" si="53"/>
        <v>4451</v>
      </c>
      <c r="L504" s="8"/>
    </row>
    <row r="505" spans="1:15" x14ac:dyDescent="0.2">
      <c r="A505" s="4" t="s">
        <v>15</v>
      </c>
      <c r="B505" s="1"/>
      <c r="C505" s="18"/>
      <c r="D505" s="18"/>
      <c r="F505" s="279">
        <v>10</v>
      </c>
      <c r="G505" s="9">
        <v>1295</v>
      </c>
      <c r="H505" s="279">
        <v>10</v>
      </c>
      <c r="I505" s="278">
        <f t="shared" si="52"/>
        <v>56746</v>
      </c>
      <c r="J505" s="34">
        <f t="shared" si="51"/>
        <v>4451</v>
      </c>
      <c r="K505" s="34">
        <f t="shared" si="53"/>
        <v>4451</v>
      </c>
      <c r="L505" s="8"/>
    </row>
    <row r="506" spans="1:15" x14ac:dyDescent="0.2">
      <c r="A506" s="1" t="s">
        <v>26</v>
      </c>
      <c r="B506" s="1"/>
      <c r="C506" s="18"/>
      <c r="D506" s="18"/>
      <c r="F506" s="279">
        <v>11</v>
      </c>
      <c r="G506" s="9">
        <v>1400</v>
      </c>
      <c r="H506" s="279">
        <v>11</v>
      </c>
      <c r="I506" s="278">
        <f t="shared" si="52"/>
        <v>61197</v>
      </c>
      <c r="J506" s="34">
        <f t="shared" si="51"/>
        <v>4451</v>
      </c>
      <c r="K506" s="34">
        <f t="shared" si="53"/>
        <v>4451</v>
      </c>
      <c r="L506" s="8"/>
    </row>
    <row r="507" spans="1:15" x14ac:dyDescent="0.2">
      <c r="A507" s="1" t="s">
        <v>16</v>
      </c>
      <c r="B507" s="1"/>
      <c r="C507" s="275">
        <v>9.23</v>
      </c>
      <c r="D507" s="275">
        <v>1.73</v>
      </c>
      <c r="F507" s="279">
        <v>12</v>
      </c>
      <c r="G507" s="9">
        <v>1505</v>
      </c>
      <c r="H507" s="279">
        <v>12</v>
      </c>
      <c r="I507" s="278">
        <f t="shared" si="52"/>
        <v>65648</v>
      </c>
      <c r="J507" s="34">
        <f t="shared" si="51"/>
        <v>4451</v>
      </c>
      <c r="K507" s="34">
        <f t="shared" si="53"/>
        <v>4451</v>
      </c>
      <c r="L507" s="8"/>
    </row>
    <row r="508" spans="1:15" x14ac:dyDescent="0.2">
      <c r="A508" s="1" t="s">
        <v>25</v>
      </c>
      <c r="B508" s="1"/>
      <c r="C508" s="275">
        <v>9.23</v>
      </c>
      <c r="D508" s="275">
        <v>0.97</v>
      </c>
      <c r="F508" s="279">
        <v>13</v>
      </c>
      <c r="G508" s="9">
        <v>1610</v>
      </c>
      <c r="H508" s="279">
        <v>13</v>
      </c>
      <c r="I508" s="278">
        <f t="shared" si="52"/>
        <v>70099</v>
      </c>
      <c r="J508" s="34">
        <f t="shared" si="51"/>
        <v>4451</v>
      </c>
      <c r="K508" s="34">
        <f t="shared" si="53"/>
        <v>4451</v>
      </c>
      <c r="L508" s="8"/>
    </row>
    <row r="509" spans="1:15" x14ac:dyDescent="0.2">
      <c r="A509" s="1" t="s">
        <v>17</v>
      </c>
      <c r="B509" s="1"/>
      <c r="C509" s="275">
        <v>25.72</v>
      </c>
      <c r="D509" s="275">
        <v>0.14000000000000001</v>
      </c>
      <c r="F509" s="279">
        <v>14</v>
      </c>
      <c r="G509" s="9">
        <v>1755</v>
      </c>
      <c r="H509" s="279">
        <v>14</v>
      </c>
      <c r="I509" s="278">
        <f>+I508+K509+L509</f>
        <v>76246</v>
      </c>
      <c r="J509" s="34">
        <f t="shared" si="51"/>
        <v>6147</v>
      </c>
      <c r="K509" s="34">
        <f t="shared" si="53"/>
        <v>4451</v>
      </c>
      <c r="L509" s="275">
        <v>1696</v>
      </c>
    </row>
    <row r="510" spans="1:15" x14ac:dyDescent="0.2">
      <c r="A510" s="1" t="s">
        <v>18</v>
      </c>
      <c r="B510" s="1"/>
      <c r="C510" s="275">
        <v>94.91</v>
      </c>
      <c r="D510" s="275">
        <v>3.97</v>
      </c>
      <c r="F510" s="279">
        <v>15</v>
      </c>
      <c r="G510" s="9">
        <f>+G509+105</f>
        <v>1860</v>
      </c>
      <c r="H510" s="279">
        <v>15</v>
      </c>
      <c r="I510" s="278">
        <f t="shared" ref="I510:I545" si="54">+I509+K510</f>
        <v>80697</v>
      </c>
      <c r="J510" s="34">
        <f t="shared" si="51"/>
        <v>4451</v>
      </c>
      <c r="K510" s="34">
        <f t="shared" si="53"/>
        <v>4451</v>
      </c>
      <c r="L510" s="8"/>
    </row>
    <row r="511" spans="1:15" x14ac:dyDescent="0.2">
      <c r="A511" s="1" t="s">
        <v>85</v>
      </c>
      <c r="B511" s="1"/>
      <c r="C511" s="275">
        <v>276.89999999999998</v>
      </c>
      <c r="D511" s="275">
        <v>10</v>
      </c>
      <c r="F511" s="279">
        <v>16</v>
      </c>
      <c r="G511" s="9">
        <f t="shared" ref="G511:G545" si="55">+G510+105</f>
        <v>1965</v>
      </c>
      <c r="H511" s="279">
        <v>16</v>
      </c>
      <c r="I511" s="278">
        <f t="shared" si="54"/>
        <v>85148</v>
      </c>
      <c r="J511" s="34">
        <f t="shared" si="51"/>
        <v>4451</v>
      </c>
      <c r="K511" s="34">
        <f t="shared" si="53"/>
        <v>4451</v>
      </c>
      <c r="L511" s="8"/>
    </row>
    <row r="512" spans="1:15" x14ac:dyDescent="0.2">
      <c r="A512" s="1" t="s">
        <v>86</v>
      </c>
      <c r="B512" s="1"/>
      <c r="C512" s="275">
        <v>0</v>
      </c>
      <c r="D512" s="275">
        <v>23.44</v>
      </c>
      <c r="F512" s="279">
        <v>17</v>
      </c>
      <c r="G512" s="9">
        <f t="shared" si="55"/>
        <v>2070</v>
      </c>
      <c r="H512" s="279">
        <v>17</v>
      </c>
      <c r="I512" s="278">
        <f t="shared" si="54"/>
        <v>89599</v>
      </c>
      <c r="J512" s="34">
        <f t="shared" si="51"/>
        <v>4451</v>
      </c>
      <c r="K512" s="34">
        <f t="shared" si="53"/>
        <v>4451</v>
      </c>
      <c r="L512" s="8"/>
    </row>
    <row r="513" spans="1:12" x14ac:dyDescent="0.2">
      <c r="A513" s="1" t="s">
        <v>132</v>
      </c>
      <c r="B513" s="1"/>
      <c r="C513" s="275">
        <v>477.9</v>
      </c>
      <c r="D513" s="275">
        <v>2.5099999999999998</v>
      </c>
      <c r="F513" s="279">
        <v>18</v>
      </c>
      <c r="G513" s="9">
        <f t="shared" si="55"/>
        <v>2175</v>
      </c>
      <c r="H513" s="279">
        <v>18</v>
      </c>
      <c r="I513" s="278">
        <f t="shared" si="54"/>
        <v>94050</v>
      </c>
      <c r="J513" s="34">
        <f t="shared" si="51"/>
        <v>4451</v>
      </c>
      <c r="K513" s="34">
        <f t="shared" si="53"/>
        <v>4451</v>
      </c>
      <c r="L513" s="8"/>
    </row>
    <row r="514" spans="1:12" x14ac:dyDescent="0.2">
      <c r="A514" s="1" t="s">
        <v>19</v>
      </c>
      <c r="B514" s="1"/>
      <c r="C514" s="275">
        <v>110.86</v>
      </c>
      <c r="D514" s="275">
        <v>0.22</v>
      </c>
      <c r="F514" s="279">
        <v>19</v>
      </c>
      <c r="G514" s="9">
        <f t="shared" si="55"/>
        <v>2280</v>
      </c>
      <c r="H514" s="279">
        <v>19</v>
      </c>
      <c r="I514" s="278">
        <f t="shared" si="54"/>
        <v>98501</v>
      </c>
      <c r="J514" s="34">
        <f t="shared" si="51"/>
        <v>4451</v>
      </c>
      <c r="K514" s="34">
        <f t="shared" si="53"/>
        <v>4451</v>
      </c>
      <c r="L514" s="8"/>
    </row>
    <row r="515" spans="1:12" x14ac:dyDescent="0.2">
      <c r="A515" s="1" t="s">
        <v>80</v>
      </c>
      <c r="B515" s="1"/>
      <c r="C515" s="275">
        <v>1677.28</v>
      </c>
      <c r="D515" s="275">
        <v>42.8</v>
      </c>
      <c r="F515" s="279">
        <v>20</v>
      </c>
      <c r="G515" s="9">
        <f t="shared" si="55"/>
        <v>2385</v>
      </c>
      <c r="H515" s="279">
        <v>20</v>
      </c>
      <c r="I515" s="278">
        <f t="shared" si="54"/>
        <v>102952</v>
      </c>
      <c r="J515" s="34">
        <f t="shared" si="51"/>
        <v>4451</v>
      </c>
      <c r="K515" s="34">
        <f t="shared" si="53"/>
        <v>4451</v>
      </c>
      <c r="L515" s="8"/>
    </row>
    <row r="516" spans="1:12" x14ac:dyDescent="0.2">
      <c r="A516" s="1" t="s">
        <v>82</v>
      </c>
      <c r="B516" s="1"/>
      <c r="C516" s="275">
        <v>1746.86</v>
      </c>
      <c r="D516" s="275">
        <v>57.02</v>
      </c>
      <c r="F516" s="279">
        <v>21</v>
      </c>
      <c r="G516" s="9">
        <f t="shared" si="55"/>
        <v>2490</v>
      </c>
      <c r="H516" s="279">
        <v>21</v>
      </c>
      <c r="I516" s="278">
        <f t="shared" si="54"/>
        <v>107403</v>
      </c>
      <c r="J516" s="34">
        <f t="shared" si="51"/>
        <v>4451</v>
      </c>
      <c r="K516" s="34">
        <f t="shared" si="53"/>
        <v>4451</v>
      </c>
      <c r="L516" s="8"/>
    </row>
    <row r="517" spans="1:12" x14ac:dyDescent="0.2">
      <c r="A517" s="1" t="s">
        <v>81</v>
      </c>
      <c r="B517" s="1"/>
      <c r="C517" s="275">
        <v>1702.9</v>
      </c>
      <c r="D517" s="275">
        <v>86.05</v>
      </c>
      <c r="F517" s="279">
        <v>22</v>
      </c>
      <c r="G517" s="9">
        <f t="shared" si="55"/>
        <v>2595</v>
      </c>
      <c r="H517" s="279">
        <v>22</v>
      </c>
      <c r="I517" s="278">
        <f t="shared" si="54"/>
        <v>111854</v>
      </c>
      <c r="J517" s="34">
        <f t="shared" si="51"/>
        <v>4451</v>
      </c>
      <c r="K517" s="34">
        <f t="shared" si="53"/>
        <v>4451</v>
      </c>
      <c r="L517" s="8"/>
    </row>
    <row r="518" spans="1:12" x14ac:dyDescent="0.2">
      <c r="A518" s="1" t="s">
        <v>20</v>
      </c>
      <c r="B518" s="1"/>
      <c r="C518" s="275">
        <v>840.84</v>
      </c>
      <c r="D518" s="275">
        <v>14.7</v>
      </c>
      <c r="F518" s="279">
        <v>23</v>
      </c>
      <c r="G518" s="9">
        <f t="shared" si="55"/>
        <v>2700</v>
      </c>
      <c r="H518" s="279">
        <v>23</v>
      </c>
      <c r="I518" s="278">
        <f t="shared" si="54"/>
        <v>116305</v>
      </c>
      <c r="J518" s="34">
        <f t="shared" si="51"/>
        <v>4451</v>
      </c>
      <c r="K518" s="34">
        <f t="shared" si="53"/>
        <v>4451</v>
      </c>
      <c r="L518" s="8"/>
    </row>
    <row r="519" spans="1:12" x14ac:dyDescent="0.2">
      <c r="A519" s="1"/>
      <c r="B519" s="4"/>
      <c r="C519" s="18"/>
      <c r="D519" s="18"/>
      <c r="F519" s="279">
        <v>24</v>
      </c>
      <c r="G519" s="9">
        <f t="shared" si="55"/>
        <v>2805</v>
      </c>
      <c r="H519" s="279">
        <v>24</v>
      </c>
      <c r="I519" s="278">
        <f t="shared" si="54"/>
        <v>120756</v>
      </c>
      <c r="J519" s="34">
        <f t="shared" si="51"/>
        <v>4451</v>
      </c>
      <c r="K519" s="34">
        <f t="shared" si="53"/>
        <v>4451</v>
      </c>
      <c r="L519" s="8"/>
    </row>
    <row r="520" spans="1:12" x14ac:dyDescent="0.2">
      <c r="A520" s="1" t="s">
        <v>27</v>
      </c>
      <c r="B520" s="1"/>
      <c r="C520" s="17"/>
      <c r="D520" s="17"/>
      <c r="F520" s="279">
        <v>25</v>
      </c>
      <c r="G520" s="9">
        <f t="shared" si="55"/>
        <v>2910</v>
      </c>
      <c r="H520" s="279">
        <v>25</v>
      </c>
      <c r="I520" s="278">
        <f t="shared" si="54"/>
        <v>125207</v>
      </c>
      <c r="J520" s="34">
        <f t="shared" si="51"/>
        <v>4451</v>
      </c>
      <c r="K520" s="34">
        <f t="shared" si="53"/>
        <v>4451</v>
      </c>
      <c r="L520" s="8"/>
    </row>
    <row r="521" spans="1:12" x14ac:dyDescent="0.2">
      <c r="A521" s="1" t="s">
        <v>21</v>
      </c>
      <c r="B521" s="1"/>
      <c r="C521" s="275">
        <v>3293.33</v>
      </c>
      <c r="D521" s="275">
        <v>19.25</v>
      </c>
      <c r="F521" s="279">
        <v>26</v>
      </c>
      <c r="G521" s="9">
        <f t="shared" si="55"/>
        <v>3015</v>
      </c>
      <c r="H521" s="279">
        <v>26</v>
      </c>
      <c r="I521" s="278">
        <f t="shared" si="54"/>
        <v>129658</v>
      </c>
      <c r="J521" s="34">
        <f t="shared" si="51"/>
        <v>4451</v>
      </c>
      <c r="K521" s="34">
        <f t="shared" si="53"/>
        <v>4451</v>
      </c>
      <c r="L521" s="8"/>
    </row>
    <row r="522" spans="1:12" x14ac:dyDescent="0.2">
      <c r="A522" s="1" t="s">
        <v>22</v>
      </c>
      <c r="B522" s="1"/>
      <c r="C522" s="275">
        <v>488.25</v>
      </c>
      <c r="D522" s="275">
        <v>3.39</v>
      </c>
      <c r="F522" s="279">
        <v>27</v>
      </c>
      <c r="G522" s="9">
        <f t="shared" si="55"/>
        <v>3120</v>
      </c>
      <c r="H522" s="279">
        <v>27</v>
      </c>
      <c r="I522" s="278">
        <f t="shared" si="54"/>
        <v>134109</v>
      </c>
      <c r="J522" s="34">
        <f t="shared" si="51"/>
        <v>4451</v>
      </c>
      <c r="K522" s="34">
        <f t="shared" si="53"/>
        <v>4451</v>
      </c>
      <c r="L522" s="8"/>
    </row>
    <row r="523" spans="1:12" x14ac:dyDescent="0.2">
      <c r="A523" s="1" t="s">
        <v>23</v>
      </c>
      <c r="B523" s="1"/>
      <c r="C523" s="275">
        <v>1818.5</v>
      </c>
      <c r="D523" s="275">
        <v>19.61</v>
      </c>
      <c r="F523" s="279">
        <v>28</v>
      </c>
      <c r="G523" s="9">
        <f t="shared" si="55"/>
        <v>3225</v>
      </c>
      <c r="H523" s="279">
        <v>28</v>
      </c>
      <c r="I523" s="278">
        <f t="shared" si="54"/>
        <v>138560</v>
      </c>
      <c r="J523" s="34">
        <f t="shared" si="51"/>
        <v>4451</v>
      </c>
      <c r="K523" s="34">
        <f t="shared" si="53"/>
        <v>4451</v>
      </c>
      <c r="L523" s="8"/>
    </row>
    <row r="524" spans="1:12" x14ac:dyDescent="0.2">
      <c r="A524" s="4"/>
      <c r="B524" s="4"/>
      <c r="C524" s="18"/>
      <c r="D524" s="18"/>
      <c r="F524" s="279">
        <v>29</v>
      </c>
      <c r="G524" s="9">
        <f t="shared" si="55"/>
        <v>3330</v>
      </c>
      <c r="H524" s="279">
        <v>29</v>
      </c>
      <c r="I524" s="278">
        <f t="shared" si="54"/>
        <v>143011</v>
      </c>
      <c r="J524" s="34">
        <f t="shared" si="51"/>
        <v>4451</v>
      </c>
      <c r="K524" s="34">
        <f t="shared" si="53"/>
        <v>4451</v>
      </c>
      <c r="L524" s="8"/>
    </row>
    <row r="525" spans="1:12" x14ac:dyDescent="0.2">
      <c r="A525" s="1" t="s">
        <v>133</v>
      </c>
      <c r="B525" s="1"/>
      <c r="C525" s="19">
        <f>SUM(C507:C523)</f>
        <v>12572.71</v>
      </c>
      <c r="D525" s="19">
        <f>SUM(D507:D523)</f>
        <v>285.8</v>
      </c>
      <c r="F525" s="279">
        <v>30</v>
      </c>
      <c r="G525" s="9">
        <f t="shared" si="55"/>
        <v>3435</v>
      </c>
      <c r="H525" s="279">
        <v>30</v>
      </c>
      <c r="I525" s="278">
        <f t="shared" si="54"/>
        <v>147462</v>
      </c>
      <c r="J525" s="34">
        <f t="shared" si="51"/>
        <v>4451</v>
      </c>
      <c r="K525" s="34">
        <f t="shared" si="53"/>
        <v>4451</v>
      </c>
      <c r="L525" s="8"/>
    </row>
    <row r="526" spans="1:12" x14ac:dyDescent="0.2">
      <c r="A526" s="4"/>
      <c r="B526" s="4"/>
      <c r="C526" s="18"/>
      <c r="D526" s="18"/>
      <c r="F526" s="279">
        <v>31</v>
      </c>
      <c r="G526" s="9">
        <f t="shared" si="55"/>
        <v>3540</v>
      </c>
      <c r="H526" s="279">
        <v>31</v>
      </c>
      <c r="I526" s="278">
        <f t="shared" si="54"/>
        <v>151913</v>
      </c>
      <c r="J526" s="34">
        <f t="shared" si="51"/>
        <v>4451</v>
      </c>
      <c r="K526" s="34">
        <f t="shared" si="53"/>
        <v>4451</v>
      </c>
      <c r="L526" s="8"/>
    </row>
    <row r="527" spans="1:12" x14ac:dyDescent="0.2">
      <c r="A527" s="1" t="s">
        <v>134</v>
      </c>
      <c r="B527" s="1"/>
      <c r="C527" s="275">
        <v>104.17</v>
      </c>
      <c r="D527" s="275">
        <v>18.649999999999999</v>
      </c>
      <c r="F527" s="279">
        <v>32</v>
      </c>
      <c r="G527" s="9">
        <f t="shared" si="55"/>
        <v>3645</v>
      </c>
      <c r="H527" s="279">
        <v>32</v>
      </c>
      <c r="I527" s="278">
        <f t="shared" si="54"/>
        <v>156364</v>
      </c>
      <c r="J527" s="34">
        <f t="shared" si="51"/>
        <v>4451</v>
      </c>
      <c r="K527" s="34">
        <f t="shared" si="53"/>
        <v>4451</v>
      </c>
      <c r="L527" s="8"/>
    </row>
    <row r="528" spans="1:12" x14ac:dyDescent="0.2">
      <c r="A528" s="1" t="s">
        <v>135</v>
      </c>
      <c r="B528" s="1"/>
      <c r="C528" s="275">
        <v>0</v>
      </c>
      <c r="D528" s="275">
        <v>209.62</v>
      </c>
      <c r="F528" s="279">
        <v>33</v>
      </c>
      <c r="G528" s="9">
        <f t="shared" si="55"/>
        <v>3750</v>
      </c>
      <c r="H528" s="279">
        <v>33</v>
      </c>
      <c r="I528" s="278">
        <f t="shared" si="54"/>
        <v>160815</v>
      </c>
      <c r="J528" s="34">
        <f t="shared" si="51"/>
        <v>4451</v>
      </c>
      <c r="K528" s="34">
        <f t="shared" si="53"/>
        <v>4451</v>
      </c>
      <c r="L528" s="8"/>
    </row>
    <row r="529" spans="6:12" x14ac:dyDescent="0.2">
      <c r="F529" s="279">
        <v>34</v>
      </c>
      <c r="G529" s="9">
        <f t="shared" si="55"/>
        <v>3855</v>
      </c>
      <c r="H529" s="279">
        <v>34</v>
      </c>
      <c r="I529" s="278">
        <f t="shared" si="54"/>
        <v>165266</v>
      </c>
      <c r="J529" s="34">
        <f t="shared" si="51"/>
        <v>4451</v>
      </c>
      <c r="K529" s="34">
        <f t="shared" si="53"/>
        <v>4451</v>
      </c>
      <c r="L529" s="8"/>
    </row>
    <row r="530" spans="6:12" x14ac:dyDescent="0.2">
      <c r="F530" s="279">
        <v>35</v>
      </c>
      <c r="G530" s="9">
        <f t="shared" si="55"/>
        <v>3960</v>
      </c>
      <c r="H530" s="279">
        <v>35</v>
      </c>
      <c r="I530" s="278">
        <f t="shared" si="54"/>
        <v>169717</v>
      </c>
      <c r="J530" s="34">
        <f t="shared" si="51"/>
        <v>4451</v>
      </c>
      <c r="K530" s="34">
        <f t="shared" si="53"/>
        <v>4451</v>
      </c>
      <c r="L530" s="8"/>
    </row>
    <row r="531" spans="6:12" x14ac:dyDescent="0.2">
      <c r="F531" s="9">
        <v>36</v>
      </c>
      <c r="G531" s="9">
        <f t="shared" si="55"/>
        <v>4065</v>
      </c>
      <c r="H531" s="9">
        <v>36</v>
      </c>
      <c r="I531" s="278">
        <f t="shared" si="54"/>
        <v>174168</v>
      </c>
      <c r="J531" s="34">
        <f t="shared" si="51"/>
        <v>4451</v>
      </c>
      <c r="K531" s="34">
        <f t="shared" si="53"/>
        <v>4451</v>
      </c>
      <c r="L531" s="8"/>
    </row>
    <row r="532" spans="6:12" x14ac:dyDescent="0.2">
      <c r="F532" s="9">
        <v>37</v>
      </c>
      <c r="G532" s="9">
        <f t="shared" si="55"/>
        <v>4170</v>
      </c>
      <c r="H532" s="9">
        <v>37</v>
      </c>
      <c r="I532" s="278">
        <f t="shared" si="54"/>
        <v>178619</v>
      </c>
      <c r="J532" s="34">
        <f t="shared" si="51"/>
        <v>4451</v>
      </c>
      <c r="K532" s="34">
        <f t="shared" si="53"/>
        <v>4451</v>
      </c>
      <c r="L532" s="8"/>
    </row>
    <row r="533" spans="6:12" x14ac:dyDescent="0.2">
      <c r="F533" s="9">
        <v>38</v>
      </c>
      <c r="G533" s="9">
        <f t="shared" si="55"/>
        <v>4275</v>
      </c>
      <c r="H533" s="9">
        <v>38</v>
      </c>
      <c r="I533" s="278">
        <f t="shared" si="54"/>
        <v>183070</v>
      </c>
      <c r="J533" s="34">
        <f t="shared" si="51"/>
        <v>4451</v>
      </c>
      <c r="K533" s="34">
        <f t="shared" si="53"/>
        <v>4451</v>
      </c>
      <c r="L533" s="8"/>
    </row>
    <row r="534" spans="6:12" x14ac:dyDescent="0.2">
      <c r="F534" s="9">
        <v>39</v>
      </c>
      <c r="G534" s="9">
        <f t="shared" si="55"/>
        <v>4380</v>
      </c>
      <c r="H534" s="9">
        <v>39</v>
      </c>
      <c r="I534" s="278">
        <f t="shared" si="54"/>
        <v>187521</v>
      </c>
      <c r="J534" s="34">
        <f t="shared" si="51"/>
        <v>4451</v>
      </c>
      <c r="K534" s="34">
        <f t="shared" si="53"/>
        <v>4451</v>
      </c>
      <c r="L534" s="8"/>
    </row>
    <row r="535" spans="6:12" x14ac:dyDescent="0.2">
      <c r="F535" s="9">
        <v>40</v>
      </c>
      <c r="G535" s="9">
        <f t="shared" si="55"/>
        <v>4485</v>
      </c>
      <c r="H535" s="9">
        <v>40</v>
      </c>
      <c r="I535" s="278">
        <f t="shared" si="54"/>
        <v>191972</v>
      </c>
      <c r="J535" s="34">
        <f t="shared" si="51"/>
        <v>4451</v>
      </c>
      <c r="K535" s="34">
        <f t="shared" si="53"/>
        <v>4451</v>
      </c>
      <c r="L535" s="8"/>
    </row>
    <row r="536" spans="6:12" x14ac:dyDescent="0.2">
      <c r="F536" s="9">
        <v>41</v>
      </c>
      <c r="G536" s="9">
        <f t="shared" si="55"/>
        <v>4590</v>
      </c>
      <c r="H536" s="9">
        <v>41</v>
      </c>
      <c r="I536" s="278">
        <f t="shared" si="54"/>
        <v>196423</v>
      </c>
      <c r="J536" s="34">
        <f t="shared" si="51"/>
        <v>4451</v>
      </c>
      <c r="K536" s="34">
        <f t="shared" si="53"/>
        <v>4451</v>
      </c>
      <c r="L536" s="8"/>
    </row>
    <row r="537" spans="6:12" x14ac:dyDescent="0.2">
      <c r="F537" s="9">
        <v>42</v>
      </c>
      <c r="G537" s="9">
        <f t="shared" si="55"/>
        <v>4695</v>
      </c>
      <c r="H537" s="9">
        <v>42</v>
      </c>
      <c r="I537" s="278">
        <f t="shared" si="54"/>
        <v>200874</v>
      </c>
      <c r="J537" s="34">
        <f t="shared" si="51"/>
        <v>4451</v>
      </c>
      <c r="K537" s="34">
        <f t="shared" si="53"/>
        <v>4451</v>
      </c>
      <c r="L537" s="8"/>
    </row>
    <row r="538" spans="6:12" x14ac:dyDescent="0.2">
      <c r="F538" s="9">
        <v>43</v>
      </c>
      <c r="G538" s="9">
        <f t="shared" si="55"/>
        <v>4800</v>
      </c>
      <c r="H538" s="9">
        <v>43</v>
      </c>
      <c r="I538" s="278">
        <f t="shared" si="54"/>
        <v>205325</v>
      </c>
      <c r="J538" s="34">
        <f t="shared" si="51"/>
        <v>4451</v>
      </c>
      <c r="K538" s="34">
        <f t="shared" si="53"/>
        <v>4451</v>
      </c>
      <c r="L538" s="8"/>
    </row>
    <row r="539" spans="6:12" x14ac:dyDescent="0.2">
      <c r="F539" s="9">
        <v>44</v>
      </c>
      <c r="G539" s="9">
        <f t="shared" si="55"/>
        <v>4905</v>
      </c>
      <c r="H539" s="9">
        <v>44</v>
      </c>
      <c r="I539" s="278">
        <f t="shared" si="54"/>
        <v>209776</v>
      </c>
      <c r="J539" s="34">
        <f t="shared" si="51"/>
        <v>4451</v>
      </c>
      <c r="K539" s="34">
        <f t="shared" si="53"/>
        <v>4451</v>
      </c>
      <c r="L539" s="8"/>
    </row>
    <row r="540" spans="6:12" x14ac:dyDescent="0.2">
      <c r="F540" s="9">
        <v>45</v>
      </c>
      <c r="G540" s="9">
        <f t="shared" si="55"/>
        <v>5010</v>
      </c>
      <c r="H540" s="9">
        <v>45</v>
      </c>
      <c r="I540" s="278">
        <f t="shared" si="54"/>
        <v>214227</v>
      </c>
      <c r="J540" s="34">
        <f t="shared" si="51"/>
        <v>4451</v>
      </c>
      <c r="K540" s="34">
        <f t="shared" si="53"/>
        <v>4451</v>
      </c>
      <c r="L540" s="8"/>
    </row>
    <row r="541" spans="6:12" x14ac:dyDescent="0.2">
      <c r="F541" s="9">
        <v>46</v>
      </c>
      <c r="G541" s="9">
        <f t="shared" si="55"/>
        <v>5115</v>
      </c>
      <c r="H541" s="9">
        <v>46</v>
      </c>
      <c r="I541" s="278">
        <f t="shared" si="54"/>
        <v>218678</v>
      </c>
      <c r="J541" s="34">
        <f t="shared" si="51"/>
        <v>4451</v>
      </c>
      <c r="K541" s="34">
        <f t="shared" si="53"/>
        <v>4451</v>
      </c>
      <c r="L541" s="8"/>
    </row>
    <row r="542" spans="6:12" x14ac:dyDescent="0.2">
      <c r="F542" s="9">
        <v>47</v>
      </c>
      <c r="G542" s="9">
        <f t="shared" si="55"/>
        <v>5220</v>
      </c>
      <c r="H542" s="9">
        <v>47</v>
      </c>
      <c r="I542" s="278">
        <f t="shared" si="54"/>
        <v>223129</v>
      </c>
      <c r="J542" s="34">
        <f t="shared" si="51"/>
        <v>4451</v>
      </c>
      <c r="K542" s="34">
        <f t="shared" si="53"/>
        <v>4451</v>
      </c>
      <c r="L542" s="8"/>
    </row>
    <row r="543" spans="6:12" x14ac:dyDescent="0.2">
      <c r="F543" s="9">
        <v>48</v>
      </c>
      <c r="G543" s="9">
        <f t="shared" si="55"/>
        <v>5325</v>
      </c>
      <c r="H543" s="9">
        <v>48</v>
      </c>
      <c r="I543" s="278">
        <f t="shared" si="54"/>
        <v>227580</v>
      </c>
      <c r="J543" s="34">
        <f t="shared" si="51"/>
        <v>4451</v>
      </c>
      <c r="K543" s="34">
        <f t="shared" si="53"/>
        <v>4451</v>
      </c>
      <c r="L543" s="8"/>
    </row>
    <row r="544" spans="6:12" x14ac:dyDescent="0.2">
      <c r="F544" s="9">
        <v>49</v>
      </c>
      <c r="G544" s="9">
        <f t="shared" si="55"/>
        <v>5430</v>
      </c>
      <c r="H544" s="9">
        <v>49</v>
      </c>
      <c r="I544" s="278">
        <f t="shared" si="54"/>
        <v>232031</v>
      </c>
      <c r="J544" s="34">
        <f t="shared" si="51"/>
        <v>4451</v>
      </c>
      <c r="K544" s="34">
        <f t="shared" si="53"/>
        <v>4451</v>
      </c>
      <c r="L544" s="8"/>
    </row>
    <row r="545" spans="1:15" x14ac:dyDescent="0.2">
      <c r="F545" s="9">
        <v>50</v>
      </c>
      <c r="G545" s="9">
        <f t="shared" si="55"/>
        <v>5535</v>
      </c>
      <c r="H545" s="9">
        <v>50</v>
      </c>
      <c r="I545" s="278">
        <f t="shared" si="54"/>
        <v>236482</v>
      </c>
      <c r="J545" s="34">
        <f t="shared" si="51"/>
        <v>4451</v>
      </c>
      <c r="K545" s="34">
        <f t="shared" si="53"/>
        <v>4451</v>
      </c>
      <c r="L545" s="8"/>
    </row>
    <row r="549" spans="1:15" x14ac:dyDescent="0.2">
      <c r="A549" s="4" t="s">
        <v>7</v>
      </c>
      <c r="B549" s="1"/>
      <c r="C549" s="741">
        <v>2008</v>
      </c>
      <c r="D549" s="743"/>
      <c r="F549" s="1" t="s">
        <v>76</v>
      </c>
      <c r="G549" s="1" t="s">
        <v>59</v>
      </c>
      <c r="H549" s="1" t="s">
        <v>76</v>
      </c>
      <c r="I549" s="1" t="s">
        <v>36</v>
      </c>
      <c r="J549" s="1" t="s">
        <v>77</v>
      </c>
      <c r="K549" s="22" t="s">
        <v>78</v>
      </c>
      <c r="L549" s="1" t="s">
        <v>136</v>
      </c>
    </row>
    <row r="550" spans="1:15" x14ac:dyDescent="0.2">
      <c r="A550" s="1" t="s">
        <v>8</v>
      </c>
      <c r="B550" s="1"/>
      <c r="C550" s="16"/>
      <c r="F550" s="1" t="s">
        <v>58</v>
      </c>
      <c r="G550" s="1" t="s">
        <v>60</v>
      </c>
      <c r="H550" s="1"/>
      <c r="I550" s="1"/>
      <c r="J550" s="1"/>
      <c r="K550" s="1"/>
      <c r="L550" s="22" t="s">
        <v>79</v>
      </c>
      <c r="N550" s="20" t="s">
        <v>75</v>
      </c>
      <c r="O550" s="1"/>
    </row>
    <row r="551" spans="1:15" x14ac:dyDescent="0.2">
      <c r="A551" s="1" t="s">
        <v>9</v>
      </c>
      <c r="B551" s="1"/>
      <c r="C551" s="275">
        <v>1255.52</v>
      </c>
      <c r="D551" s="275">
        <v>13.22</v>
      </c>
      <c r="F551" s="9">
        <v>0</v>
      </c>
      <c r="G551" s="9">
        <v>0</v>
      </c>
      <c r="H551" s="9">
        <v>0</v>
      </c>
      <c r="I551" s="278"/>
      <c r="J551" s="8"/>
      <c r="K551" s="8"/>
      <c r="L551" s="8"/>
      <c r="N551" s="21" t="s">
        <v>33</v>
      </c>
      <c r="O551" s="277">
        <v>9</v>
      </c>
    </row>
    <row r="552" spans="1:15" x14ac:dyDescent="0.2">
      <c r="A552" s="1" t="s">
        <v>10</v>
      </c>
      <c r="B552" s="1"/>
      <c r="C552" s="275">
        <v>42.3</v>
      </c>
      <c r="D552" s="275">
        <v>0.41</v>
      </c>
      <c r="F552" s="279">
        <v>2</v>
      </c>
      <c r="G552" s="9">
        <v>375</v>
      </c>
      <c r="H552" s="279">
        <v>2</v>
      </c>
      <c r="I552" s="281">
        <v>17085</v>
      </c>
      <c r="J552" s="8"/>
      <c r="K552" s="8"/>
      <c r="L552" s="8"/>
      <c r="N552" s="273" t="s">
        <v>34</v>
      </c>
      <c r="O552" s="277">
        <v>6.17</v>
      </c>
    </row>
    <row r="553" spans="1:15" x14ac:dyDescent="0.2">
      <c r="A553" s="1" t="s">
        <v>11</v>
      </c>
      <c r="B553" s="1"/>
      <c r="C553" s="275">
        <v>0</v>
      </c>
      <c r="D553" s="275">
        <v>17.62</v>
      </c>
      <c r="F553" s="279">
        <v>3</v>
      </c>
      <c r="G553" s="9">
        <v>495</v>
      </c>
      <c r="H553" s="279">
        <v>3</v>
      </c>
      <c r="I553" s="281">
        <v>21982</v>
      </c>
      <c r="J553" s="34">
        <v>4897</v>
      </c>
      <c r="K553" s="8"/>
      <c r="L553" s="8"/>
      <c r="N553" s="273" t="s">
        <v>35</v>
      </c>
      <c r="O553" s="277">
        <v>3.2</v>
      </c>
    </row>
    <row r="554" spans="1:15" x14ac:dyDescent="0.2">
      <c r="A554" s="1" t="s">
        <v>12</v>
      </c>
      <c r="B554" s="4"/>
      <c r="C554" s="64"/>
      <c r="D554" s="64"/>
      <c r="F554" s="279">
        <v>4</v>
      </c>
      <c r="G554" s="9">
        <v>650</v>
      </c>
      <c r="H554" s="279">
        <v>4</v>
      </c>
      <c r="I554" s="281">
        <v>28308</v>
      </c>
      <c r="J554" s="34">
        <v>6326</v>
      </c>
      <c r="K554" s="8"/>
      <c r="L554" s="8"/>
      <c r="N554" s="273" t="s">
        <v>61</v>
      </c>
      <c r="O554" s="277">
        <v>280</v>
      </c>
    </row>
    <row r="555" spans="1:15" x14ac:dyDescent="0.2">
      <c r="A555" s="1" t="s">
        <v>13</v>
      </c>
      <c r="B555" s="1"/>
      <c r="C555" s="275">
        <v>81.23</v>
      </c>
      <c r="D555" s="275">
        <v>1.42</v>
      </c>
      <c r="F555" s="279">
        <v>5</v>
      </c>
      <c r="G555" s="9">
        <v>785</v>
      </c>
      <c r="H555" s="279">
        <v>5</v>
      </c>
      <c r="I555" s="281">
        <v>33817</v>
      </c>
      <c r="J555" s="34">
        <v>5509</v>
      </c>
      <c r="K555" s="8"/>
      <c r="L555" s="8"/>
      <c r="N555" s="273" t="s">
        <v>62</v>
      </c>
      <c r="O555" s="277">
        <v>2.06</v>
      </c>
    </row>
    <row r="556" spans="1:15" x14ac:dyDescent="0.2">
      <c r="A556" s="1" t="s">
        <v>14</v>
      </c>
      <c r="B556" s="1"/>
      <c r="C556" s="275">
        <v>28.5</v>
      </c>
      <c r="D556" s="275">
        <v>5.91</v>
      </c>
      <c r="F556" s="279">
        <v>6</v>
      </c>
      <c r="G556" s="9">
        <v>875</v>
      </c>
      <c r="H556" s="279">
        <v>6</v>
      </c>
      <c r="I556" s="281">
        <v>37490</v>
      </c>
      <c r="J556" s="34">
        <v>3673</v>
      </c>
      <c r="K556" s="8"/>
      <c r="L556" s="8"/>
      <c r="N556" s="2" t="s">
        <v>48</v>
      </c>
      <c r="O556" s="282">
        <v>179</v>
      </c>
    </row>
    <row r="557" spans="1:15" x14ac:dyDescent="0.2">
      <c r="A557" s="1" t="s">
        <v>24</v>
      </c>
      <c r="B557" s="1"/>
      <c r="C557" s="275">
        <v>37.18</v>
      </c>
      <c r="D557" s="275">
        <v>0.41</v>
      </c>
      <c r="F557" s="279">
        <v>7</v>
      </c>
      <c r="G557" s="9">
        <v>980</v>
      </c>
      <c r="H557" s="279">
        <v>7</v>
      </c>
      <c r="I557" s="278">
        <v>41775</v>
      </c>
      <c r="J557" s="34">
        <v>4285</v>
      </c>
      <c r="K557" s="275">
        <v>4285</v>
      </c>
      <c r="L557" s="8"/>
    </row>
    <row r="558" spans="1:15" x14ac:dyDescent="0.2">
      <c r="A558" s="1" t="s">
        <v>131</v>
      </c>
      <c r="B558" s="1"/>
      <c r="C558" s="275">
        <v>336.47</v>
      </c>
      <c r="D558" s="275">
        <v>1.82</v>
      </c>
      <c r="F558" s="279">
        <v>8</v>
      </c>
      <c r="G558" s="9">
        <v>1085</v>
      </c>
      <c r="H558" s="279">
        <v>8</v>
      </c>
      <c r="I558" s="278">
        <v>46060</v>
      </c>
      <c r="J558" s="34">
        <v>4285</v>
      </c>
      <c r="K558" s="34">
        <v>4285</v>
      </c>
      <c r="L558" s="8"/>
    </row>
    <row r="559" spans="1:15" x14ac:dyDescent="0.2">
      <c r="A559" s="1"/>
      <c r="B559" s="1"/>
      <c r="C559" s="17"/>
      <c r="D559" s="17"/>
      <c r="F559" s="279">
        <v>9</v>
      </c>
      <c r="G559" s="9">
        <v>1190</v>
      </c>
      <c r="H559" s="279">
        <v>9</v>
      </c>
      <c r="I559" s="278">
        <v>50345</v>
      </c>
      <c r="J559" s="34">
        <v>4285</v>
      </c>
      <c r="K559" s="34">
        <v>4285</v>
      </c>
      <c r="L559" s="8"/>
    </row>
    <row r="560" spans="1:15" x14ac:dyDescent="0.2">
      <c r="A560" s="4" t="s">
        <v>15</v>
      </c>
      <c r="B560" s="1"/>
      <c r="C560" s="18"/>
      <c r="D560" s="18"/>
      <c r="F560" s="279">
        <v>10</v>
      </c>
      <c r="G560" s="9">
        <v>1295</v>
      </c>
      <c r="H560" s="279">
        <v>10</v>
      </c>
      <c r="I560" s="278">
        <v>54630</v>
      </c>
      <c r="J560" s="34">
        <v>4285</v>
      </c>
      <c r="K560" s="34">
        <v>4285</v>
      </c>
      <c r="L560" s="8"/>
    </row>
    <row r="561" spans="1:12" x14ac:dyDescent="0.2">
      <c r="A561" s="1" t="s">
        <v>26</v>
      </c>
      <c r="B561" s="1"/>
      <c r="C561" s="18"/>
      <c r="D561" s="18"/>
      <c r="F561" s="279">
        <v>11</v>
      </c>
      <c r="G561" s="9">
        <v>1400</v>
      </c>
      <c r="H561" s="279">
        <v>11</v>
      </c>
      <c r="I561" s="278">
        <v>58915</v>
      </c>
      <c r="J561" s="34">
        <v>4285</v>
      </c>
      <c r="K561" s="34">
        <v>4285</v>
      </c>
      <c r="L561" s="8"/>
    </row>
    <row r="562" spans="1:12" x14ac:dyDescent="0.2">
      <c r="A562" s="1" t="s">
        <v>16</v>
      </c>
      <c r="B562" s="1"/>
      <c r="C562" s="275">
        <v>8.8800000000000008</v>
      </c>
      <c r="D562" s="275">
        <v>1.26</v>
      </c>
      <c r="F562" s="279">
        <v>12</v>
      </c>
      <c r="G562" s="9">
        <v>1505</v>
      </c>
      <c r="H562" s="279">
        <v>12</v>
      </c>
      <c r="I562" s="278">
        <v>63200</v>
      </c>
      <c r="J562" s="34">
        <v>4285</v>
      </c>
      <c r="K562" s="34">
        <v>4285</v>
      </c>
      <c r="L562" s="8"/>
    </row>
    <row r="563" spans="1:12" x14ac:dyDescent="0.2">
      <c r="A563" s="1" t="s">
        <v>25</v>
      </c>
      <c r="B563" s="1"/>
      <c r="C563" s="275">
        <v>8.8800000000000008</v>
      </c>
      <c r="D563" s="275">
        <v>0.93</v>
      </c>
      <c r="F563" s="279">
        <v>13</v>
      </c>
      <c r="G563" s="9">
        <v>1610</v>
      </c>
      <c r="H563" s="279">
        <v>13</v>
      </c>
      <c r="I563" s="278">
        <v>67485</v>
      </c>
      <c r="J563" s="34">
        <v>4285</v>
      </c>
      <c r="K563" s="34">
        <v>4285</v>
      </c>
      <c r="L563" s="8"/>
    </row>
    <row r="564" spans="1:12" x14ac:dyDescent="0.2">
      <c r="A564" s="1" t="s">
        <v>17</v>
      </c>
      <c r="B564" s="1"/>
      <c r="C564" s="275">
        <v>24.75</v>
      </c>
      <c r="D564" s="275">
        <v>0.13</v>
      </c>
      <c r="F564" s="279">
        <v>14</v>
      </c>
      <c r="G564" s="9">
        <v>1755</v>
      </c>
      <c r="H564" s="279">
        <v>14</v>
      </c>
      <c r="I564" s="278">
        <v>73402</v>
      </c>
      <c r="J564" s="34">
        <v>5917</v>
      </c>
      <c r="K564" s="34">
        <v>4285</v>
      </c>
      <c r="L564" s="275">
        <v>1632</v>
      </c>
    </row>
    <row r="565" spans="1:12" x14ac:dyDescent="0.2">
      <c r="A565" s="1" t="s">
        <v>18</v>
      </c>
      <c r="B565" s="1"/>
      <c r="C565" s="275">
        <v>91.35</v>
      </c>
      <c r="D565" s="275">
        <v>3.82</v>
      </c>
      <c r="F565" s="279">
        <v>15</v>
      </c>
      <c r="G565" s="9">
        <f>+G564+105</f>
        <v>1860</v>
      </c>
      <c r="H565" s="279">
        <v>15</v>
      </c>
      <c r="I565" s="278">
        <v>77687</v>
      </c>
      <c r="J565" s="34">
        <v>4285</v>
      </c>
      <c r="K565" s="34">
        <v>4285</v>
      </c>
      <c r="L565" s="8"/>
    </row>
    <row r="566" spans="1:12" x14ac:dyDescent="0.2">
      <c r="A566" s="1" t="s">
        <v>85</v>
      </c>
      <c r="B566" s="1"/>
      <c r="C566" s="275">
        <v>266.51</v>
      </c>
      <c r="D566" s="275">
        <v>9.6199999999999992</v>
      </c>
      <c r="F566" s="279">
        <v>16</v>
      </c>
      <c r="G566" s="9">
        <f t="shared" ref="G566:G600" si="56">+G565+105</f>
        <v>1965</v>
      </c>
      <c r="H566" s="279">
        <v>16</v>
      </c>
      <c r="I566" s="278">
        <v>81972</v>
      </c>
      <c r="J566" s="34">
        <v>4285</v>
      </c>
      <c r="K566" s="34">
        <v>4285</v>
      </c>
      <c r="L566" s="8"/>
    </row>
    <row r="567" spans="1:12" x14ac:dyDescent="0.2">
      <c r="A567" s="1" t="s">
        <v>86</v>
      </c>
      <c r="B567" s="1"/>
      <c r="C567" s="275">
        <v>0</v>
      </c>
      <c r="D567" s="275">
        <v>22.56</v>
      </c>
      <c r="F567" s="279">
        <v>17</v>
      </c>
      <c r="G567" s="9">
        <f t="shared" si="56"/>
        <v>2070</v>
      </c>
      <c r="H567" s="279">
        <v>17</v>
      </c>
      <c r="I567" s="278">
        <v>86257</v>
      </c>
      <c r="J567" s="34">
        <v>4285</v>
      </c>
      <c r="K567" s="34">
        <v>4285</v>
      </c>
      <c r="L567" s="8"/>
    </row>
    <row r="568" spans="1:12" x14ac:dyDescent="0.2">
      <c r="A568" s="1" t="s">
        <v>132</v>
      </c>
      <c r="B568" s="1"/>
      <c r="C568" s="275">
        <v>459.96</v>
      </c>
      <c r="D568" s="275">
        <v>2.42</v>
      </c>
      <c r="F568" s="279">
        <v>18</v>
      </c>
      <c r="G568" s="9">
        <f t="shared" si="56"/>
        <v>2175</v>
      </c>
      <c r="H568" s="279">
        <v>18</v>
      </c>
      <c r="I568" s="278">
        <v>90542</v>
      </c>
      <c r="J568" s="34">
        <v>4285</v>
      </c>
      <c r="K568" s="34">
        <v>4285</v>
      </c>
      <c r="L568" s="8"/>
    </row>
    <row r="569" spans="1:12" x14ac:dyDescent="0.2">
      <c r="A569" s="1" t="s">
        <v>19</v>
      </c>
      <c r="B569" s="1"/>
      <c r="C569" s="275">
        <v>106.7</v>
      </c>
      <c r="D569" s="275">
        <v>0.21</v>
      </c>
      <c r="F569" s="279">
        <v>19</v>
      </c>
      <c r="G569" s="9">
        <f t="shared" si="56"/>
        <v>2280</v>
      </c>
      <c r="H569" s="279">
        <v>19</v>
      </c>
      <c r="I569" s="278">
        <v>94827</v>
      </c>
      <c r="J569" s="34">
        <v>4285</v>
      </c>
      <c r="K569" s="34">
        <v>4285</v>
      </c>
      <c r="L569" s="8"/>
    </row>
    <row r="570" spans="1:12" x14ac:dyDescent="0.2">
      <c r="A570" s="1" t="s">
        <v>80</v>
      </c>
      <c r="B570" s="1"/>
      <c r="C570" s="275">
        <v>1614.32</v>
      </c>
      <c r="D570" s="275">
        <v>41.19</v>
      </c>
      <c r="F570" s="279">
        <v>20</v>
      </c>
      <c r="G570" s="9">
        <f t="shared" si="56"/>
        <v>2385</v>
      </c>
      <c r="H570" s="279">
        <v>20</v>
      </c>
      <c r="I570" s="278">
        <v>99112</v>
      </c>
      <c r="J570" s="34">
        <v>4285</v>
      </c>
      <c r="K570" s="34">
        <v>4285</v>
      </c>
      <c r="L570" s="8"/>
    </row>
    <row r="571" spans="1:12" x14ac:dyDescent="0.2">
      <c r="A571" s="1" t="s">
        <v>82</v>
      </c>
      <c r="B571" s="1"/>
      <c r="C571" s="275">
        <v>1681.29</v>
      </c>
      <c r="D571" s="275">
        <v>54.88</v>
      </c>
      <c r="F571" s="279">
        <v>21</v>
      </c>
      <c r="G571" s="9">
        <f t="shared" si="56"/>
        <v>2490</v>
      </c>
      <c r="H571" s="279">
        <v>21</v>
      </c>
      <c r="I571" s="278">
        <v>103397</v>
      </c>
      <c r="J571" s="34">
        <v>4285</v>
      </c>
      <c r="K571" s="34">
        <v>4285</v>
      </c>
      <c r="L571" s="8"/>
    </row>
    <row r="572" spans="1:12" x14ac:dyDescent="0.2">
      <c r="A572" s="1" t="s">
        <v>81</v>
      </c>
      <c r="B572" s="1"/>
      <c r="C572" s="275">
        <v>1638.98</v>
      </c>
      <c r="D572" s="275">
        <v>82.82</v>
      </c>
      <c r="F572" s="279">
        <v>22</v>
      </c>
      <c r="G572" s="9">
        <f t="shared" si="56"/>
        <v>2595</v>
      </c>
      <c r="H572" s="279">
        <v>22</v>
      </c>
      <c r="I572" s="278">
        <v>107682</v>
      </c>
      <c r="J572" s="34">
        <v>4285</v>
      </c>
      <c r="K572" s="34">
        <v>4285</v>
      </c>
      <c r="L572" s="8"/>
    </row>
    <row r="573" spans="1:12" x14ac:dyDescent="0.2">
      <c r="A573" s="1" t="s">
        <v>20</v>
      </c>
      <c r="B573" s="1"/>
      <c r="C573" s="275">
        <v>809.31</v>
      </c>
      <c r="D573" s="275">
        <v>14.16</v>
      </c>
      <c r="F573" s="279">
        <v>23</v>
      </c>
      <c r="G573" s="9">
        <f t="shared" si="56"/>
        <v>2700</v>
      </c>
      <c r="H573" s="279">
        <v>23</v>
      </c>
      <c r="I573" s="278">
        <v>111967</v>
      </c>
      <c r="J573" s="34">
        <v>4285</v>
      </c>
      <c r="K573" s="34">
        <v>4285</v>
      </c>
      <c r="L573" s="8"/>
    </row>
    <row r="574" spans="1:12" x14ac:dyDescent="0.2">
      <c r="A574" s="1"/>
      <c r="B574" s="4"/>
      <c r="C574" s="18"/>
      <c r="D574" s="18"/>
      <c r="F574" s="279">
        <v>24</v>
      </c>
      <c r="G574" s="9">
        <f t="shared" si="56"/>
        <v>2805</v>
      </c>
      <c r="H574" s="279">
        <v>24</v>
      </c>
      <c r="I574" s="278">
        <v>116252</v>
      </c>
      <c r="J574" s="34">
        <v>4285</v>
      </c>
      <c r="K574" s="34">
        <v>4285</v>
      </c>
      <c r="L574" s="8"/>
    </row>
    <row r="575" spans="1:12" x14ac:dyDescent="0.2">
      <c r="A575" s="1" t="s">
        <v>27</v>
      </c>
      <c r="B575" s="1"/>
      <c r="C575" s="17"/>
      <c r="D575" s="17"/>
      <c r="F575" s="279">
        <v>25</v>
      </c>
      <c r="G575" s="9">
        <f t="shared" si="56"/>
        <v>2910</v>
      </c>
      <c r="H575" s="279">
        <v>25</v>
      </c>
      <c r="I575" s="278">
        <v>120537</v>
      </c>
      <c r="J575" s="34">
        <v>4285</v>
      </c>
      <c r="K575" s="34">
        <v>4285</v>
      </c>
      <c r="L575" s="8"/>
    </row>
    <row r="576" spans="1:12" x14ac:dyDescent="0.2">
      <c r="A576" s="1" t="s">
        <v>21</v>
      </c>
      <c r="B576" s="1"/>
      <c r="C576" s="275">
        <v>2703.23</v>
      </c>
      <c r="D576" s="275">
        <v>15.8</v>
      </c>
      <c r="F576" s="279">
        <v>26</v>
      </c>
      <c r="G576" s="9">
        <f t="shared" si="56"/>
        <v>3015</v>
      </c>
      <c r="H576" s="279">
        <v>26</v>
      </c>
      <c r="I576" s="278">
        <v>124822</v>
      </c>
      <c r="J576" s="34">
        <v>4285</v>
      </c>
      <c r="K576" s="34">
        <v>4285</v>
      </c>
      <c r="L576" s="8"/>
    </row>
    <row r="577" spans="1:15" x14ac:dyDescent="0.2">
      <c r="A577" s="1" t="s">
        <v>22</v>
      </c>
      <c r="B577" s="1"/>
      <c r="C577" s="275">
        <v>469.92</v>
      </c>
      <c r="D577" s="275">
        <v>3.26</v>
      </c>
      <c r="F577" s="279">
        <v>27</v>
      </c>
      <c r="G577" s="9">
        <f t="shared" si="56"/>
        <v>3120</v>
      </c>
      <c r="H577" s="279">
        <v>27</v>
      </c>
      <c r="I577" s="278">
        <v>129107</v>
      </c>
      <c r="J577" s="34">
        <v>4285</v>
      </c>
      <c r="K577" s="34">
        <v>4285</v>
      </c>
      <c r="L577" s="8"/>
    </row>
    <row r="578" spans="1:15" x14ac:dyDescent="0.2">
      <c r="A578" s="1" t="s">
        <v>23</v>
      </c>
      <c r="B578" s="1"/>
      <c r="C578" s="275">
        <v>1750.24</v>
      </c>
      <c r="D578" s="275">
        <v>18.87</v>
      </c>
      <c r="F578" s="279">
        <v>28</v>
      </c>
      <c r="G578" s="9">
        <f t="shared" si="56"/>
        <v>3225</v>
      </c>
      <c r="H578" s="279">
        <v>28</v>
      </c>
      <c r="I578" s="278">
        <v>133392</v>
      </c>
      <c r="J578" s="34">
        <v>4285</v>
      </c>
      <c r="K578" s="34">
        <v>4285</v>
      </c>
      <c r="L578" s="8"/>
    </row>
    <row r="579" spans="1:15" x14ac:dyDescent="0.2">
      <c r="A579" s="4"/>
      <c r="B579" s="4"/>
      <c r="C579" s="18"/>
      <c r="D579" s="18"/>
      <c r="F579" s="279">
        <v>29</v>
      </c>
      <c r="G579" s="9">
        <f t="shared" si="56"/>
        <v>3330</v>
      </c>
      <c r="H579" s="279">
        <v>29</v>
      </c>
      <c r="I579" s="278">
        <v>137677</v>
      </c>
      <c r="J579" s="34">
        <v>4285</v>
      </c>
      <c r="K579" s="34">
        <v>4285</v>
      </c>
      <c r="L579" s="8"/>
    </row>
    <row r="580" spans="1:15" x14ac:dyDescent="0.2">
      <c r="A580" s="1" t="s">
        <v>133</v>
      </c>
      <c r="B580" s="1"/>
      <c r="C580" s="19">
        <f>SUM(C562:C578)</f>
        <v>11634.319999999998</v>
      </c>
      <c r="D580" s="19">
        <f>SUM(D562:D578)</f>
        <v>271.92999999999995</v>
      </c>
      <c r="F580" s="279">
        <v>30</v>
      </c>
      <c r="G580" s="9">
        <f t="shared" si="56"/>
        <v>3435</v>
      </c>
      <c r="H580" s="279">
        <v>30</v>
      </c>
      <c r="I580" s="278">
        <v>141962</v>
      </c>
      <c r="J580" s="34">
        <v>4285</v>
      </c>
      <c r="K580" s="34">
        <v>4285</v>
      </c>
      <c r="L580" s="8"/>
    </row>
    <row r="581" spans="1:15" x14ac:dyDescent="0.2">
      <c r="A581" s="4"/>
      <c r="B581" s="4"/>
      <c r="C581" s="18"/>
      <c r="D581" s="18"/>
      <c r="F581" s="279">
        <v>31</v>
      </c>
      <c r="G581" s="9">
        <f t="shared" si="56"/>
        <v>3540</v>
      </c>
      <c r="H581" s="279">
        <v>31</v>
      </c>
      <c r="I581" s="278">
        <v>146247</v>
      </c>
      <c r="J581" s="34">
        <v>4285</v>
      </c>
      <c r="K581" s="34">
        <v>4285</v>
      </c>
      <c r="L581" s="8"/>
    </row>
    <row r="582" spans="1:15" x14ac:dyDescent="0.2">
      <c r="A582" s="1" t="s">
        <v>134</v>
      </c>
      <c r="B582" s="1"/>
      <c r="C582" s="275">
        <v>100.26</v>
      </c>
      <c r="D582" s="275">
        <v>17.95</v>
      </c>
      <c r="F582" s="279">
        <v>32</v>
      </c>
      <c r="G582" s="9">
        <f t="shared" si="56"/>
        <v>3645</v>
      </c>
      <c r="H582" s="279">
        <v>32</v>
      </c>
      <c r="I582" s="278">
        <v>150532</v>
      </c>
      <c r="J582" s="34">
        <v>4285</v>
      </c>
      <c r="K582" s="34">
        <v>4285</v>
      </c>
      <c r="L582" s="8"/>
    </row>
    <row r="583" spans="1:15" x14ac:dyDescent="0.2">
      <c r="A583" s="1" t="s">
        <v>135</v>
      </c>
      <c r="B583" s="1"/>
      <c r="C583" s="275">
        <v>0</v>
      </c>
      <c r="D583" s="275">
        <v>201.75</v>
      </c>
      <c r="F583" s="279">
        <v>33</v>
      </c>
      <c r="G583" s="9">
        <f t="shared" si="56"/>
        <v>3750</v>
      </c>
      <c r="H583" s="279">
        <v>33</v>
      </c>
      <c r="I583" s="278">
        <v>154817</v>
      </c>
      <c r="J583" s="34">
        <v>4285</v>
      </c>
      <c r="K583" s="34">
        <v>4285</v>
      </c>
      <c r="L583" s="8"/>
    </row>
    <row r="584" spans="1:15" x14ac:dyDescent="0.2">
      <c r="F584" s="279">
        <v>34</v>
      </c>
      <c r="G584" s="9">
        <f t="shared" si="56"/>
        <v>3855</v>
      </c>
      <c r="H584" s="279">
        <v>34</v>
      </c>
      <c r="I584" s="278">
        <v>159102</v>
      </c>
      <c r="J584" s="34">
        <v>4285</v>
      </c>
      <c r="K584" s="34">
        <v>4285</v>
      </c>
      <c r="L584" s="8"/>
    </row>
    <row r="585" spans="1:15" x14ac:dyDescent="0.2">
      <c r="F585" s="279">
        <v>35</v>
      </c>
      <c r="G585" s="9">
        <f t="shared" si="56"/>
        <v>3960</v>
      </c>
      <c r="H585" s="279">
        <v>35</v>
      </c>
      <c r="I585" s="278">
        <v>163387</v>
      </c>
      <c r="J585" s="34">
        <v>4285</v>
      </c>
      <c r="K585" s="34">
        <v>4285</v>
      </c>
      <c r="L585" s="8"/>
    </row>
    <row r="586" spans="1:15" x14ac:dyDescent="0.2">
      <c r="F586" s="9">
        <v>36</v>
      </c>
      <c r="G586" s="9">
        <f t="shared" si="56"/>
        <v>4065</v>
      </c>
      <c r="H586" s="9">
        <v>36</v>
      </c>
      <c r="I586" s="278">
        <v>167672</v>
      </c>
      <c r="J586" s="34">
        <v>4285</v>
      </c>
      <c r="K586" s="34">
        <v>4285</v>
      </c>
      <c r="L586" s="8"/>
    </row>
    <row r="587" spans="1:15" x14ac:dyDescent="0.2">
      <c r="F587" s="9">
        <v>37</v>
      </c>
      <c r="G587" s="9">
        <f t="shared" si="56"/>
        <v>4170</v>
      </c>
      <c r="H587" s="9">
        <v>37</v>
      </c>
      <c r="I587" s="278">
        <v>171957</v>
      </c>
      <c r="J587" s="34">
        <v>4285</v>
      </c>
      <c r="K587" s="34">
        <v>4285</v>
      </c>
      <c r="L587" s="8"/>
    </row>
    <row r="588" spans="1:15" x14ac:dyDescent="0.2">
      <c r="F588" s="9">
        <v>38</v>
      </c>
      <c r="G588" s="9">
        <f t="shared" si="56"/>
        <v>4275</v>
      </c>
      <c r="H588" s="9">
        <v>38</v>
      </c>
      <c r="I588" s="278">
        <v>176242</v>
      </c>
      <c r="J588" s="34">
        <v>4285</v>
      </c>
      <c r="K588" s="34">
        <v>4285</v>
      </c>
      <c r="L588" s="8"/>
    </row>
    <row r="589" spans="1:15" x14ac:dyDescent="0.2">
      <c r="F589" s="9">
        <v>39</v>
      </c>
      <c r="G589" s="9">
        <f t="shared" si="56"/>
        <v>4380</v>
      </c>
      <c r="H589" s="9">
        <v>39</v>
      </c>
      <c r="I589" s="278">
        <v>180527</v>
      </c>
      <c r="J589" s="34">
        <v>4285</v>
      </c>
      <c r="K589" s="34">
        <v>4285</v>
      </c>
      <c r="L589" s="8"/>
    </row>
    <row r="590" spans="1:15" x14ac:dyDescent="0.2">
      <c r="F590" s="9">
        <v>40</v>
      </c>
      <c r="G590" s="9">
        <f t="shared" si="56"/>
        <v>4485</v>
      </c>
      <c r="H590" s="9">
        <v>40</v>
      </c>
      <c r="I590" s="278">
        <v>184812</v>
      </c>
      <c r="J590" s="34">
        <v>4285</v>
      </c>
      <c r="K590" s="34">
        <v>4285</v>
      </c>
      <c r="L590" s="8"/>
    </row>
    <row r="591" spans="1:15" x14ac:dyDescent="0.2">
      <c r="F591" s="9">
        <v>41</v>
      </c>
      <c r="G591" s="9">
        <f t="shared" si="56"/>
        <v>4590</v>
      </c>
      <c r="H591" s="9">
        <v>41</v>
      </c>
      <c r="I591" s="278">
        <v>189097</v>
      </c>
      <c r="J591" s="34">
        <v>4285</v>
      </c>
      <c r="K591" s="34">
        <v>4285</v>
      </c>
      <c r="L591" s="8"/>
    </row>
    <row r="592" spans="1:15" s="12" customFormat="1" x14ac:dyDescent="0.2">
      <c r="A592" s="2"/>
      <c r="B592" s="2"/>
      <c r="C592" s="2"/>
      <c r="D592" s="2"/>
      <c r="E592" s="2"/>
      <c r="F592" s="9">
        <v>42</v>
      </c>
      <c r="G592" s="9">
        <f t="shared" si="56"/>
        <v>4695</v>
      </c>
      <c r="H592" s="9">
        <v>42</v>
      </c>
      <c r="I592" s="278">
        <v>193382</v>
      </c>
      <c r="J592" s="34">
        <v>4285</v>
      </c>
      <c r="K592" s="34">
        <v>4285</v>
      </c>
      <c r="L592" s="8"/>
      <c r="M592" s="2"/>
      <c r="N592" s="2"/>
      <c r="O592" s="2"/>
    </row>
    <row r="593" spans="1:15" s="12" customFormat="1" x14ac:dyDescent="0.2">
      <c r="A593" s="2"/>
      <c r="B593" s="2"/>
      <c r="C593" s="2"/>
      <c r="D593" s="2"/>
      <c r="E593" s="2"/>
      <c r="F593" s="9">
        <v>43</v>
      </c>
      <c r="G593" s="9">
        <f t="shared" si="56"/>
        <v>4800</v>
      </c>
      <c r="H593" s="9">
        <v>43</v>
      </c>
      <c r="I593" s="278">
        <v>197667</v>
      </c>
      <c r="J593" s="34">
        <v>4285</v>
      </c>
      <c r="K593" s="34">
        <v>4285</v>
      </c>
      <c r="L593" s="8"/>
      <c r="M593" s="2"/>
      <c r="N593" s="2"/>
      <c r="O593" s="2"/>
    </row>
    <row r="594" spans="1:15" s="12" customFormat="1" x14ac:dyDescent="0.2">
      <c r="A594" s="2"/>
      <c r="B594" s="2"/>
      <c r="C594" s="2"/>
      <c r="D594" s="2"/>
      <c r="E594" s="2"/>
      <c r="F594" s="9">
        <v>44</v>
      </c>
      <c r="G594" s="9">
        <f t="shared" si="56"/>
        <v>4905</v>
      </c>
      <c r="H594" s="9">
        <v>44</v>
      </c>
      <c r="I594" s="278">
        <v>201952</v>
      </c>
      <c r="J594" s="34">
        <v>4285</v>
      </c>
      <c r="K594" s="34">
        <v>4285</v>
      </c>
      <c r="L594" s="8"/>
      <c r="M594" s="2"/>
      <c r="N594" s="2"/>
      <c r="O594" s="2"/>
    </row>
    <row r="595" spans="1:15" s="12" customFormat="1" x14ac:dyDescent="0.2">
      <c r="A595" s="2"/>
      <c r="B595" s="2"/>
      <c r="C595" s="2"/>
      <c r="D595" s="2"/>
      <c r="E595" s="2"/>
      <c r="F595" s="9">
        <v>45</v>
      </c>
      <c r="G595" s="9">
        <f t="shared" si="56"/>
        <v>5010</v>
      </c>
      <c r="H595" s="9">
        <v>45</v>
      </c>
      <c r="I595" s="278">
        <v>206237</v>
      </c>
      <c r="J595" s="34">
        <v>4285</v>
      </c>
      <c r="K595" s="34">
        <v>4285</v>
      </c>
      <c r="L595" s="8"/>
      <c r="M595" s="2"/>
      <c r="N595" s="2"/>
      <c r="O595" s="2"/>
    </row>
    <row r="596" spans="1:15" s="12" customFormat="1" x14ac:dyDescent="0.2">
      <c r="A596" s="2"/>
      <c r="B596" s="2"/>
      <c r="C596" s="2"/>
      <c r="D596" s="2"/>
      <c r="E596" s="2"/>
      <c r="F596" s="9">
        <v>46</v>
      </c>
      <c r="G596" s="9">
        <f t="shared" si="56"/>
        <v>5115</v>
      </c>
      <c r="H596" s="9">
        <v>46</v>
      </c>
      <c r="I596" s="278">
        <f>+I595+K596</f>
        <v>210522</v>
      </c>
      <c r="J596" s="34">
        <f>+I596-I595</f>
        <v>4285</v>
      </c>
      <c r="K596" s="34">
        <f>K595</f>
        <v>4285</v>
      </c>
      <c r="L596" s="8"/>
      <c r="M596" s="2"/>
      <c r="N596" s="2"/>
      <c r="O596" s="2"/>
    </row>
    <row r="597" spans="1:15" s="12" customFormat="1" x14ac:dyDescent="0.2">
      <c r="A597" s="2"/>
      <c r="B597" s="2"/>
      <c r="C597" s="2"/>
      <c r="D597" s="2"/>
      <c r="E597" s="2"/>
      <c r="F597" s="9">
        <v>47</v>
      </c>
      <c r="G597" s="9">
        <f t="shared" si="56"/>
        <v>5220</v>
      </c>
      <c r="H597" s="9">
        <v>47</v>
      </c>
      <c r="I597" s="278">
        <f>+I596+K597</f>
        <v>214807</v>
      </c>
      <c r="J597" s="34">
        <f>+I597-I596</f>
        <v>4285</v>
      </c>
      <c r="K597" s="34">
        <f>K596</f>
        <v>4285</v>
      </c>
      <c r="L597" s="8"/>
      <c r="M597" s="2"/>
      <c r="N597" s="2"/>
      <c r="O597" s="2"/>
    </row>
    <row r="598" spans="1:15" s="12" customFormat="1" x14ac:dyDescent="0.2">
      <c r="A598" s="2"/>
      <c r="B598" s="2"/>
      <c r="C598" s="2"/>
      <c r="D598" s="2"/>
      <c r="E598" s="2"/>
      <c r="F598" s="9">
        <v>48</v>
      </c>
      <c r="G598" s="9">
        <f t="shared" si="56"/>
        <v>5325</v>
      </c>
      <c r="H598" s="9">
        <v>48</v>
      </c>
      <c r="I598" s="278">
        <f>+I597+K598</f>
        <v>219092</v>
      </c>
      <c r="J598" s="34">
        <f>+I598-I597</f>
        <v>4285</v>
      </c>
      <c r="K598" s="34">
        <f>K597</f>
        <v>4285</v>
      </c>
      <c r="L598" s="8"/>
      <c r="M598" s="2"/>
      <c r="N598" s="2"/>
      <c r="O598" s="2"/>
    </row>
    <row r="599" spans="1:15" s="12" customFormat="1" x14ac:dyDescent="0.2">
      <c r="A599" s="2"/>
      <c r="B599" s="2"/>
      <c r="C599" s="2"/>
      <c r="D599" s="2"/>
      <c r="E599" s="2"/>
      <c r="F599" s="9">
        <v>49</v>
      </c>
      <c r="G599" s="9">
        <f t="shared" si="56"/>
        <v>5430</v>
      </c>
      <c r="H599" s="9">
        <v>49</v>
      </c>
      <c r="I599" s="278">
        <f>+I598+K599</f>
        <v>223377</v>
      </c>
      <c r="J599" s="34">
        <f>+I599-I598</f>
        <v>4285</v>
      </c>
      <c r="K599" s="34">
        <f>K598</f>
        <v>4285</v>
      </c>
      <c r="L599" s="8"/>
      <c r="M599" s="2"/>
      <c r="N599" s="2"/>
      <c r="O599" s="2"/>
    </row>
    <row r="600" spans="1:15" s="12" customFormat="1" x14ac:dyDescent="0.2">
      <c r="A600" s="2"/>
      <c r="B600" s="2"/>
      <c r="C600" s="2"/>
      <c r="D600" s="2"/>
      <c r="E600" s="2"/>
      <c r="F600" s="9">
        <v>50</v>
      </c>
      <c r="G600" s="9">
        <f t="shared" si="56"/>
        <v>5535</v>
      </c>
      <c r="H600" s="9">
        <v>50</v>
      </c>
      <c r="I600" s="278">
        <f>+I599+K600</f>
        <v>227662</v>
      </c>
      <c r="J600" s="34">
        <f>+I600-I599</f>
        <v>4285</v>
      </c>
      <c r="K600" s="34">
        <f>K599</f>
        <v>4285</v>
      </c>
      <c r="L600" s="8"/>
      <c r="M600" s="2"/>
      <c r="N600" s="2"/>
      <c r="O600" s="2"/>
    </row>
    <row r="601" spans="1:15" s="12" customFormat="1" x14ac:dyDescent="0.2">
      <c r="A601" s="25"/>
      <c r="D601" s="1"/>
    </row>
    <row r="602" spans="1:15" s="12" customFormat="1" x14ac:dyDescent="0.2">
      <c r="A602" s="25"/>
      <c r="D602" s="1"/>
    </row>
    <row r="603" spans="1:15" s="12" customFormat="1" x14ac:dyDescent="0.2">
      <c r="A603" s="25"/>
      <c r="D603" s="1"/>
    </row>
    <row r="604" spans="1:15" s="12" customFormat="1" x14ac:dyDescent="0.2">
      <c r="A604" s="4" t="s">
        <v>7</v>
      </c>
      <c r="B604" s="1"/>
      <c r="C604" s="741">
        <v>2007</v>
      </c>
      <c r="D604" s="742"/>
      <c r="E604" s="2"/>
      <c r="F604" s="1" t="s">
        <v>76</v>
      </c>
      <c r="G604" s="1" t="s">
        <v>59</v>
      </c>
      <c r="H604" s="1" t="s">
        <v>76</v>
      </c>
      <c r="I604" s="1" t="s">
        <v>36</v>
      </c>
      <c r="J604" s="1" t="s">
        <v>77</v>
      </c>
      <c r="K604" s="22" t="s">
        <v>78</v>
      </c>
      <c r="L604" s="1" t="s">
        <v>136</v>
      </c>
    </row>
    <row r="605" spans="1:15" s="12" customFormat="1" x14ac:dyDescent="0.2">
      <c r="A605" s="1" t="s">
        <v>8</v>
      </c>
      <c r="B605" s="1"/>
      <c r="C605" s="16"/>
      <c r="D605" s="2"/>
      <c r="E605" s="2"/>
      <c r="F605" s="1" t="s">
        <v>58</v>
      </c>
      <c r="G605" s="1" t="s">
        <v>60</v>
      </c>
      <c r="H605" s="1"/>
      <c r="I605" s="1"/>
      <c r="J605" s="1"/>
      <c r="K605" s="1"/>
      <c r="L605" s="22" t="s">
        <v>79</v>
      </c>
      <c r="N605" s="20" t="s">
        <v>75</v>
      </c>
      <c r="O605" s="1"/>
    </row>
    <row r="606" spans="1:15" s="12" customFormat="1" x14ac:dyDescent="0.2">
      <c r="A606" s="1" t="s">
        <v>9</v>
      </c>
      <c r="B606" s="1"/>
      <c r="C606" s="275">
        <v>1235.74</v>
      </c>
      <c r="D606" s="275">
        <v>13.01</v>
      </c>
      <c r="E606" s="2"/>
      <c r="F606" s="9">
        <v>0</v>
      </c>
      <c r="G606" s="9">
        <v>0</v>
      </c>
      <c r="H606" s="9">
        <v>0</v>
      </c>
      <c r="I606" s="278">
        <v>0</v>
      </c>
      <c r="J606" s="8"/>
      <c r="K606" s="8"/>
      <c r="L606" s="8"/>
      <c r="M606" s="2"/>
      <c r="N606" s="21" t="s">
        <v>33</v>
      </c>
      <c r="O606" s="277">
        <v>9</v>
      </c>
    </row>
    <row r="607" spans="1:15" s="12" customFormat="1" x14ac:dyDescent="0.2">
      <c r="A607" s="1" t="s">
        <v>10</v>
      </c>
      <c r="B607" s="1"/>
      <c r="C607" s="275">
        <v>41.63</v>
      </c>
      <c r="D607" s="275">
        <v>0.4</v>
      </c>
      <c r="E607" s="2"/>
      <c r="F607" s="279">
        <v>2</v>
      </c>
      <c r="G607" s="9">
        <v>375</v>
      </c>
      <c r="H607" s="279">
        <v>2</v>
      </c>
      <c r="I607" s="281">
        <v>16813</v>
      </c>
      <c r="J607" s="8"/>
      <c r="K607" s="8"/>
      <c r="L607" s="8"/>
      <c r="M607" s="2"/>
      <c r="N607" s="273" t="s">
        <v>34</v>
      </c>
      <c r="O607" s="277">
        <v>6.17</v>
      </c>
    </row>
    <row r="608" spans="1:15" s="12" customFormat="1" x14ac:dyDescent="0.2">
      <c r="A608" s="1" t="s">
        <v>11</v>
      </c>
      <c r="B608" s="1"/>
      <c r="C608" s="275">
        <v>0</v>
      </c>
      <c r="D608" s="275">
        <v>17.34</v>
      </c>
      <c r="E608" s="2"/>
      <c r="F608" s="279">
        <v>3</v>
      </c>
      <c r="G608" s="9">
        <v>495</v>
      </c>
      <c r="H608" s="279">
        <v>3</v>
      </c>
      <c r="I608" s="281">
        <v>21632</v>
      </c>
      <c r="J608" s="34">
        <v>4819</v>
      </c>
      <c r="K608" s="8"/>
      <c r="L608" s="8"/>
      <c r="M608" s="2"/>
      <c r="N608" s="273" t="s">
        <v>35</v>
      </c>
      <c r="O608" s="277">
        <v>3.2</v>
      </c>
    </row>
    <row r="609" spans="1:15" s="12" customFormat="1" x14ac:dyDescent="0.2">
      <c r="A609" s="1" t="s">
        <v>12</v>
      </c>
      <c r="B609" s="4"/>
      <c r="C609" s="64"/>
      <c r="D609" s="64"/>
      <c r="E609" s="2"/>
      <c r="F609" s="279">
        <v>4</v>
      </c>
      <c r="G609" s="9">
        <v>650</v>
      </c>
      <c r="H609" s="279">
        <v>4</v>
      </c>
      <c r="I609" s="281">
        <v>27857</v>
      </c>
      <c r="J609" s="34">
        <v>6225</v>
      </c>
      <c r="K609" s="8"/>
      <c r="L609" s="8"/>
      <c r="M609" s="2"/>
      <c r="N609" s="273" t="s">
        <v>61</v>
      </c>
      <c r="O609" s="277">
        <v>280</v>
      </c>
    </row>
    <row r="610" spans="1:15" s="12" customFormat="1" x14ac:dyDescent="0.2">
      <c r="A610" s="1" t="s">
        <v>13</v>
      </c>
      <c r="B610" s="1"/>
      <c r="C610" s="275">
        <v>79.97</v>
      </c>
      <c r="D610" s="275">
        <v>1.4</v>
      </c>
      <c r="E610" s="2"/>
      <c r="F610" s="279">
        <v>5</v>
      </c>
      <c r="G610" s="9">
        <v>785</v>
      </c>
      <c r="H610" s="279">
        <v>5</v>
      </c>
      <c r="I610" s="281">
        <v>33279</v>
      </c>
      <c r="J610" s="34">
        <v>5422</v>
      </c>
      <c r="K610" s="8"/>
      <c r="L610" s="8"/>
      <c r="M610" s="2"/>
      <c r="N610" s="273" t="s">
        <v>62</v>
      </c>
      <c r="O610" s="277">
        <v>2.06</v>
      </c>
    </row>
    <row r="611" spans="1:15" s="12" customFormat="1" x14ac:dyDescent="0.2">
      <c r="A611" s="1" t="s">
        <v>14</v>
      </c>
      <c r="B611" s="1"/>
      <c r="C611" s="275">
        <v>28.05</v>
      </c>
      <c r="D611" s="275">
        <v>5.82</v>
      </c>
      <c r="E611" s="2"/>
      <c r="F611" s="279">
        <v>6</v>
      </c>
      <c r="G611" s="9">
        <v>875</v>
      </c>
      <c r="H611" s="279">
        <v>6</v>
      </c>
      <c r="I611" s="281">
        <v>36893</v>
      </c>
      <c r="J611" s="34">
        <v>3614</v>
      </c>
      <c r="K611" s="8"/>
      <c r="L611" s="8"/>
      <c r="M611" s="2"/>
      <c r="N611" s="2" t="s">
        <v>48</v>
      </c>
      <c r="O611" s="282">
        <v>179</v>
      </c>
    </row>
    <row r="612" spans="1:15" s="12" customFormat="1" x14ac:dyDescent="0.2">
      <c r="A612" s="1" t="s">
        <v>24</v>
      </c>
      <c r="B612" s="1"/>
      <c r="C612" s="275">
        <v>36.590000000000003</v>
      </c>
      <c r="D612" s="275">
        <v>0.4</v>
      </c>
      <c r="E612" s="2"/>
      <c r="F612" s="279">
        <v>7</v>
      </c>
      <c r="G612" s="9">
        <v>980</v>
      </c>
      <c r="H612" s="279">
        <v>7</v>
      </c>
      <c r="I612" s="278">
        <v>41110</v>
      </c>
      <c r="J612" s="34">
        <v>4217</v>
      </c>
      <c r="K612" s="275">
        <v>4217</v>
      </c>
      <c r="L612" s="8"/>
      <c r="M612" s="2"/>
      <c r="N612" s="2"/>
      <c r="O612" s="2"/>
    </row>
    <row r="613" spans="1:15" s="12" customFormat="1" x14ac:dyDescent="0.2">
      <c r="A613" s="1" t="s">
        <v>131</v>
      </c>
      <c r="B613" s="1"/>
      <c r="C613" s="275">
        <v>331.17</v>
      </c>
      <c r="D613" s="275">
        <v>1.79</v>
      </c>
      <c r="E613" s="2"/>
      <c r="F613" s="279">
        <v>8</v>
      </c>
      <c r="G613" s="9">
        <v>1085</v>
      </c>
      <c r="H613" s="279">
        <v>8</v>
      </c>
      <c r="I613" s="278">
        <v>45327</v>
      </c>
      <c r="J613" s="34">
        <v>4217</v>
      </c>
      <c r="K613" s="34">
        <v>4217</v>
      </c>
      <c r="L613" s="8"/>
      <c r="M613" s="2"/>
      <c r="N613" s="2"/>
      <c r="O613" s="2"/>
    </row>
    <row r="614" spans="1:15" s="12" customFormat="1" x14ac:dyDescent="0.2">
      <c r="A614" s="1"/>
      <c r="B614" s="1"/>
      <c r="C614" s="17"/>
      <c r="D614" s="17"/>
      <c r="E614" s="2"/>
      <c r="F614" s="279">
        <v>9</v>
      </c>
      <c r="G614" s="9">
        <v>1190</v>
      </c>
      <c r="H614" s="279">
        <v>9</v>
      </c>
      <c r="I614" s="278">
        <v>49544</v>
      </c>
      <c r="J614" s="34">
        <v>4217</v>
      </c>
      <c r="K614" s="34">
        <v>4217</v>
      </c>
      <c r="L614" s="8"/>
      <c r="M614" s="2"/>
      <c r="N614" s="2"/>
      <c r="O614" s="2"/>
    </row>
    <row r="615" spans="1:15" s="12" customFormat="1" x14ac:dyDescent="0.2">
      <c r="A615" s="4" t="s">
        <v>15</v>
      </c>
      <c r="B615" s="1"/>
      <c r="C615" s="18"/>
      <c r="D615" s="18"/>
      <c r="E615" s="2"/>
      <c r="F615" s="279">
        <v>10</v>
      </c>
      <c r="G615" s="9">
        <v>1295</v>
      </c>
      <c r="H615" s="279">
        <v>10</v>
      </c>
      <c r="I615" s="278">
        <v>53761</v>
      </c>
      <c r="J615" s="34">
        <v>4217</v>
      </c>
      <c r="K615" s="34">
        <v>4217</v>
      </c>
      <c r="L615" s="8"/>
      <c r="M615" s="2"/>
      <c r="N615" s="2"/>
      <c r="O615" s="2"/>
    </row>
    <row r="616" spans="1:15" s="12" customFormat="1" x14ac:dyDescent="0.2">
      <c r="A616" s="1" t="s">
        <v>26</v>
      </c>
      <c r="B616" s="1"/>
      <c r="C616" s="18"/>
      <c r="D616" s="18"/>
      <c r="E616" s="2"/>
      <c r="F616" s="279">
        <v>11</v>
      </c>
      <c r="G616" s="9">
        <v>1400</v>
      </c>
      <c r="H616" s="279">
        <v>11</v>
      </c>
      <c r="I616" s="278">
        <v>57978</v>
      </c>
      <c r="J616" s="34">
        <v>4217</v>
      </c>
      <c r="K616" s="34">
        <v>4217</v>
      </c>
      <c r="L616" s="8"/>
      <c r="M616" s="2"/>
      <c r="N616" s="2"/>
      <c r="O616" s="2"/>
    </row>
    <row r="617" spans="1:15" s="12" customFormat="1" x14ac:dyDescent="0.2">
      <c r="A617" s="1" t="s">
        <v>16</v>
      </c>
      <c r="B617" s="1"/>
      <c r="C617" s="275">
        <v>8.74</v>
      </c>
      <c r="D617" s="275">
        <v>1.24</v>
      </c>
      <c r="E617" s="2"/>
      <c r="F617" s="279">
        <v>12</v>
      </c>
      <c r="G617" s="9">
        <v>1505</v>
      </c>
      <c r="H617" s="279">
        <v>12</v>
      </c>
      <c r="I617" s="278">
        <v>62195</v>
      </c>
      <c r="J617" s="34">
        <v>4217</v>
      </c>
      <c r="K617" s="34">
        <v>4217</v>
      </c>
      <c r="L617" s="8"/>
      <c r="M617" s="2"/>
      <c r="N617" s="2"/>
      <c r="O617" s="2"/>
    </row>
    <row r="618" spans="1:15" s="12" customFormat="1" x14ac:dyDescent="0.2">
      <c r="A618" s="1" t="s">
        <v>25</v>
      </c>
      <c r="B618" s="1"/>
      <c r="C618" s="275">
        <v>8.74</v>
      </c>
      <c r="D618" s="275">
        <v>0.92</v>
      </c>
      <c r="E618" s="2"/>
      <c r="F618" s="279">
        <v>13</v>
      </c>
      <c r="G618" s="9">
        <v>1610</v>
      </c>
      <c r="H618" s="279">
        <v>13</v>
      </c>
      <c r="I618" s="278">
        <v>66412</v>
      </c>
      <c r="J618" s="34">
        <v>4217</v>
      </c>
      <c r="K618" s="34">
        <v>4217</v>
      </c>
      <c r="L618" s="8"/>
      <c r="M618" s="2"/>
      <c r="N618" s="2"/>
      <c r="O618" s="2"/>
    </row>
    <row r="619" spans="1:15" s="12" customFormat="1" x14ac:dyDescent="0.2">
      <c r="A619" s="1" t="s">
        <v>17</v>
      </c>
      <c r="B619" s="1"/>
      <c r="C619" s="275">
        <v>24.36</v>
      </c>
      <c r="D619" s="275">
        <v>0.13</v>
      </c>
      <c r="E619" s="2"/>
      <c r="F619" s="279">
        <v>14</v>
      </c>
      <c r="G619" s="9">
        <v>1755</v>
      </c>
      <c r="H619" s="279">
        <v>14</v>
      </c>
      <c r="I619" s="278">
        <v>72235</v>
      </c>
      <c r="J619" s="34">
        <v>5823</v>
      </c>
      <c r="K619" s="34">
        <v>4217</v>
      </c>
      <c r="L619" s="275">
        <v>1606</v>
      </c>
      <c r="M619" s="2"/>
      <c r="N619" s="2"/>
      <c r="O619" s="2"/>
    </row>
    <row r="620" spans="1:15" s="12" customFormat="1" x14ac:dyDescent="0.2">
      <c r="A620" s="1" t="s">
        <v>18</v>
      </c>
      <c r="B620" s="1"/>
      <c r="C620" s="275">
        <v>89.91</v>
      </c>
      <c r="D620" s="275">
        <v>3.76</v>
      </c>
      <c r="E620" s="2"/>
      <c r="F620" s="279">
        <v>15</v>
      </c>
      <c r="G620" s="9">
        <f>+G619+105</f>
        <v>1860</v>
      </c>
      <c r="H620" s="279">
        <v>15</v>
      </c>
      <c r="I620" s="278">
        <v>76452</v>
      </c>
      <c r="J620" s="34">
        <v>4217</v>
      </c>
      <c r="K620" s="34">
        <v>4217</v>
      </c>
      <c r="L620" s="8"/>
      <c r="M620" s="2"/>
      <c r="N620" s="2"/>
      <c r="O620" s="2"/>
    </row>
    <row r="621" spans="1:15" s="12" customFormat="1" x14ac:dyDescent="0.2">
      <c r="A621" s="1" t="s">
        <v>85</v>
      </c>
      <c r="B621" s="1"/>
      <c r="C621" s="275">
        <v>262.31</v>
      </c>
      <c r="D621" s="275">
        <v>9.48</v>
      </c>
      <c r="E621" s="2"/>
      <c r="F621" s="279">
        <v>16</v>
      </c>
      <c r="G621" s="9">
        <f t="shared" ref="G621:G655" si="57">+G620+105</f>
        <v>1965</v>
      </c>
      <c r="H621" s="279">
        <v>16</v>
      </c>
      <c r="I621" s="278">
        <v>80669</v>
      </c>
      <c r="J621" s="34">
        <v>4217</v>
      </c>
      <c r="K621" s="34">
        <v>4217</v>
      </c>
      <c r="L621" s="8"/>
      <c r="M621" s="2"/>
      <c r="N621" s="2"/>
      <c r="O621" s="2"/>
    </row>
    <row r="622" spans="1:15" s="12" customFormat="1" x14ac:dyDescent="0.2">
      <c r="A622" s="1" t="s">
        <v>86</v>
      </c>
      <c r="B622" s="1"/>
      <c r="C622" s="275">
        <v>0</v>
      </c>
      <c r="D622" s="275">
        <v>22.2</v>
      </c>
      <c r="E622" s="2"/>
      <c r="F622" s="279">
        <v>17</v>
      </c>
      <c r="G622" s="9">
        <f t="shared" si="57"/>
        <v>2070</v>
      </c>
      <c r="H622" s="279">
        <v>17</v>
      </c>
      <c r="I622" s="278">
        <v>84886</v>
      </c>
      <c r="J622" s="34">
        <v>4217</v>
      </c>
      <c r="K622" s="34">
        <v>4217</v>
      </c>
      <c r="L622" s="8"/>
      <c r="M622" s="2"/>
      <c r="N622" s="2"/>
      <c r="O622" s="2"/>
    </row>
    <row r="623" spans="1:15" s="12" customFormat="1" x14ac:dyDescent="0.2">
      <c r="A623" s="1" t="s">
        <v>132</v>
      </c>
      <c r="B623" s="1"/>
      <c r="C623" s="275">
        <v>452.72</v>
      </c>
      <c r="D623" s="275">
        <v>2.38</v>
      </c>
      <c r="E623" s="2"/>
      <c r="F623" s="279">
        <v>18</v>
      </c>
      <c r="G623" s="9">
        <f t="shared" si="57"/>
        <v>2175</v>
      </c>
      <c r="H623" s="279">
        <v>18</v>
      </c>
      <c r="I623" s="278">
        <v>89103</v>
      </c>
      <c r="J623" s="34">
        <v>4217</v>
      </c>
      <c r="K623" s="34">
        <v>4217</v>
      </c>
      <c r="L623" s="8"/>
      <c r="M623" s="2"/>
      <c r="N623" s="2"/>
      <c r="O623" s="2"/>
    </row>
    <row r="624" spans="1:15" s="12" customFormat="1" x14ac:dyDescent="0.2">
      <c r="A624" s="1" t="s">
        <v>19</v>
      </c>
      <c r="B624" s="1"/>
      <c r="C624" s="275">
        <v>105.02</v>
      </c>
      <c r="D624" s="275">
        <v>0.21</v>
      </c>
      <c r="E624" s="2"/>
      <c r="F624" s="279">
        <v>19</v>
      </c>
      <c r="G624" s="9">
        <f t="shared" si="57"/>
        <v>2280</v>
      </c>
      <c r="H624" s="279">
        <v>19</v>
      </c>
      <c r="I624" s="278">
        <v>93320</v>
      </c>
      <c r="J624" s="34">
        <v>4217</v>
      </c>
      <c r="K624" s="34">
        <v>4217</v>
      </c>
      <c r="L624" s="8"/>
      <c r="M624" s="2"/>
      <c r="N624" s="2"/>
      <c r="O624" s="2"/>
    </row>
    <row r="625" spans="1:15" s="12" customFormat="1" x14ac:dyDescent="0.2">
      <c r="A625" s="1" t="s">
        <v>80</v>
      </c>
      <c r="B625" s="1"/>
      <c r="C625" s="275">
        <v>1588.9</v>
      </c>
      <c r="D625" s="275">
        <v>40.54</v>
      </c>
      <c r="E625" s="2"/>
      <c r="F625" s="279">
        <v>20</v>
      </c>
      <c r="G625" s="9">
        <f t="shared" si="57"/>
        <v>2385</v>
      </c>
      <c r="H625" s="279">
        <v>20</v>
      </c>
      <c r="I625" s="278">
        <v>97537</v>
      </c>
      <c r="J625" s="34">
        <v>4217</v>
      </c>
      <c r="K625" s="34">
        <v>4217</v>
      </c>
      <c r="L625" s="8"/>
      <c r="M625" s="2"/>
      <c r="N625" s="2"/>
      <c r="O625" s="2"/>
    </row>
    <row r="626" spans="1:15" s="12" customFormat="1" x14ac:dyDescent="0.2">
      <c r="A626" s="1" t="s">
        <v>82</v>
      </c>
      <c r="B626" s="1"/>
      <c r="C626" s="275">
        <v>1654.81</v>
      </c>
      <c r="D626" s="275">
        <v>54.02</v>
      </c>
      <c r="E626" s="2"/>
      <c r="F626" s="279">
        <v>21</v>
      </c>
      <c r="G626" s="9">
        <f t="shared" si="57"/>
        <v>2490</v>
      </c>
      <c r="H626" s="279">
        <v>21</v>
      </c>
      <c r="I626" s="278">
        <v>101754</v>
      </c>
      <c r="J626" s="34">
        <v>4217</v>
      </c>
      <c r="K626" s="34">
        <v>4217</v>
      </c>
      <c r="L626" s="8"/>
      <c r="M626" s="2"/>
      <c r="N626" s="2"/>
      <c r="O626" s="2"/>
    </row>
    <row r="627" spans="1:15" s="12" customFormat="1" x14ac:dyDescent="0.2">
      <c r="A627" s="1" t="s">
        <v>81</v>
      </c>
      <c r="B627" s="1"/>
      <c r="C627" s="275">
        <v>1613.17</v>
      </c>
      <c r="D627" s="275">
        <v>81.510000000000005</v>
      </c>
      <c r="E627" s="2"/>
      <c r="F627" s="279">
        <v>22</v>
      </c>
      <c r="G627" s="9">
        <f t="shared" si="57"/>
        <v>2595</v>
      </c>
      <c r="H627" s="279">
        <v>22</v>
      </c>
      <c r="I627" s="278">
        <v>105971</v>
      </c>
      <c r="J627" s="34">
        <v>4217</v>
      </c>
      <c r="K627" s="34">
        <v>4217</v>
      </c>
      <c r="L627" s="8"/>
      <c r="M627" s="2"/>
      <c r="N627" s="2"/>
      <c r="O627" s="2"/>
    </row>
    <row r="628" spans="1:15" s="12" customFormat="1" x14ac:dyDescent="0.2">
      <c r="A628" s="1" t="s">
        <v>20</v>
      </c>
      <c r="B628" s="1"/>
      <c r="C628" s="275">
        <v>796.53</v>
      </c>
      <c r="D628" s="275">
        <v>13.95</v>
      </c>
      <c r="E628" s="2"/>
      <c r="F628" s="279">
        <v>23</v>
      </c>
      <c r="G628" s="9">
        <f t="shared" si="57"/>
        <v>2700</v>
      </c>
      <c r="H628" s="279">
        <v>23</v>
      </c>
      <c r="I628" s="278">
        <v>110188</v>
      </c>
      <c r="J628" s="34">
        <v>4217</v>
      </c>
      <c r="K628" s="34">
        <v>4217</v>
      </c>
      <c r="L628" s="8"/>
      <c r="M628" s="2"/>
      <c r="N628" s="2"/>
      <c r="O628" s="2"/>
    </row>
    <row r="629" spans="1:15" s="12" customFormat="1" x14ac:dyDescent="0.2">
      <c r="A629" s="1"/>
      <c r="B629" s="4"/>
      <c r="C629" s="18"/>
      <c r="D629" s="18"/>
      <c r="E629" s="2"/>
      <c r="F629" s="279">
        <v>24</v>
      </c>
      <c r="G629" s="9">
        <f t="shared" si="57"/>
        <v>2805</v>
      </c>
      <c r="H629" s="279">
        <v>24</v>
      </c>
      <c r="I629" s="278">
        <v>114405</v>
      </c>
      <c r="J629" s="34">
        <v>4217</v>
      </c>
      <c r="K629" s="34">
        <v>4217</v>
      </c>
      <c r="L629" s="8"/>
      <c r="M629" s="2"/>
      <c r="N629" s="2"/>
      <c r="O629" s="2"/>
    </row>
    <row r="630" spans="1:15" s="12" customFormat="1" x14ac:dyDescent="0.2">
      <c r="A630" s="1" t="s">
        <v>27</v>
      </c>
      <c r="B630" s="1"/>
      <c r="C630" s="17"/>
      <c r="D630" s="17"/>
      <c r="E630" s="2"/>
      <c r="F630" s="279">
        <v>25</v>
      </c>
      <c r="G630" s="9">
        <f t="shared" si="57"/>
        <v>2910</v>
      </c>
      <c r="H630" s="279">
        <v>25</v>
      </c>
      <c r="I630" s="278">
        <v>118622</v>
      </c>
      <c r="J630" s="34">
        <v>4217</v>
      </c>
      <c r="K630" s="34">
        <v>4217</v>
      </c>
      <c r="L630" s="8"/>
      <c r="M630" s="2"/>
      <c r="N630" s="2"/>
      <c r="O630" s="2"/>
    </row>
    <row r="631" spans="1:15" s="12" customFormat="1" x14ac:dyDescent="0.2">
      <c r="A631" s="1" t="s">
        <v>21</v>
      </c>
      <c r="B631" s="1"/>
      <c r="C631" s="275">
        <v>2660.66</v>
      </c>
      <c r="D631" s="275">
        <v>15.55</v>
      </c>
      <c r="E631" s="2"/>
      <c r="F631" s="279">
        <v>26</v>
      </c>
      <c r="G631" s="9">
        <f t="shared" si="57"/>
        <v>3015</v>
      </c>
      <c r="H631" s="279">
        <v>26</v>
      </c>
      <c r="I631" s="278">
        <v>122839</v>
      </c>
      <c r="J631" s="34">
        <v>4217</v>
      </c>
      <c r="K631" s="34">
        <v>4217</v>
      </c>
      <c r="L631" s="8"/>
      <c r="M631" s="2"/>
      <c r="N631" s="2"/>
      <c r="O631" s="2"/>
    </row>
    <row r="632" spans="1:15" s="12" customFormat="1" x14ac:dyDescent="0.2">
      <c r="A632" s="1" t="s">
        <v>22</v>
      </c>
      <c r="B632" s="1"/>
      <c r="C632" s="275">
        <v>462.52</v>
      </c>
      <c r="D632" s="275">
        <v>3.21</v>
      </c>
      <c r="E632" s="2"/>
      <c r="F632" s="279">
        <v>27</v>
      </c>
      <c r="G632" s="9">
        <f t="shared" si="57"/>
        <v>3120</v>
      </c>
      <c r="H632" s="279">
        <v>27</v>
      </c>
      <c r="I632" s="278">
        <v>127056</v>
      </c>
      <c r="J632" s="34">
        <v>4217</v>
      </c>
      <c r="K632" s="34">
        <v>4217</v>
      </c>
      <c r="L632" s="8"/>
      <c r="M632" s="2"/>
      <c r="N632" s="2"/>
      <c r="O632" s="2"/>
    </row>
    <row r="633" spans="1:15" s="12" customFormat="1" x14ac:dyDescent="0.2">
      <c r="A633" s="1" t="s">
        <v>23</v>
      </c>
      <c r="B633" s="1"/>
      <c r="C633" s="275">
        <v>1722.68</v>
      </c>
      <c r="D633" s="275">
        <v>18.57</v>
      </c>
      <c r="E633" s="2"/>
      <c r="F633" s="279">
        <v>28</v>
      </c>
      <c r="G633" s="9">
        <f t="shared" si="57"/>
        <v>3225</v>
      </c>
      <c r="H633" s="279">
        <v>28</v>
      </c>
      <c r="I633" s="278">
        <v>131273</v>
      </c>
      <c r="J633" s="34">
        <v>4217</v>
      </c>
      <c r="K633" s="34">
        <v>4217</v>
      </c>
      <c r="L633" s="8"/>
      <c r="M633" s="2"/>
      <c r="N633" s="2"/>
      <c r="O633" s="2"/>
    </row>
    <row r="634" spans="1:15" s="12" customFormat="1" x14ac:dyDescent="0.2">
      <c r="A634" s="4"/>
      <c r="B634" s="4"/>
      <c r="C634" s="18"/>
      <c r="D634" s="18"/>
      <c r="E634" s="2"/>
      <c r="F634" s="279">
        <v>29</v>
      </c>
      <c r="G634" s="9">
        <f t="shared" si="57"/>
        <v>3330</v>
      </c>
      <c r="H634" s="279">
        <v>29</v>
      </c>
      <c r="I634" s="278">
        <v>135490</v>
      </c>
      <c r="J634" s="34">
        <v>4217</v>
      </c>
      <c r="K634" s="34">
        <v>4217</v>
      </c>
      <c r="L634" s="8"/>
      <c r="M634" s="2"/>
      <c r="N634" s="2"/>
      <c r="O634" s="2"/>
    </row>
    <row r="635" spans="1:15" s="12" customFormat="1" x14ac:dyDescent="0.2">
      <c r="A635" s="1" t="s">
        <v>133</v>
      </c>
      <c r="B635" s="1"/>
      <c r="C635" s="19">
        <f>SUM(C617:C633)</f>
        <v>11451.07</v>
      </c>
      <c r="D635" s="19">
        <f>SUM(D617:D633)</f>
        <v>267.67000000000007</v>
      </c>
      <c r="E635" s="2"/>
      <c r="F635" s="279">
        <v>30</v>
      </c>
      <c r="G635" s="9">
        <f t="shared" si="57"/>
        <v>3435</v>
      </c>
      <c r="H635" s="279">
        <v>30</v>
      </c>
      <c r="I635" s="278">
        <v>139707</v>
      </c>
      <c r="J635" s="34">
        <v>4217</v>
      </c>
      <c r="K635" s="34">
        <v>4217</v>
      </c>
      <c r="L635" s="8"/>
      <c r="M635" s="2"/>
      <c r="N635" s="2"/>
      <c r="O635" s="2"/>
    </row>
    <row r="636" spans="1:15" s="12" customFormat="1" x14ac:dyDescent="0.2">
      <c r="A636" s="4"/>
      <c r="B636" s="4"/>
      <c r="C636" s="18"/>
      <c r="D636" s="18"/>
      <c r="E636" s="2"/>
      <c r="F636" s="279">
        <v>31</v>
      </c>
      <c r="G636" s="9">
        <f t="shared" si="57"/>
        <v>3540</v>
      </c>
      <c r="H636" s="279">
        <v>31</v>
      </c>
      <c r="I636" s="278">
        <v>143924</v>
      </c>
      <c r="J636" s="34">
        <v>4217</v>
      </c>
      <c r="K636" s="34">
        <v>4217</v>
      </c>
      <c r="L636" s="8"/>
      <c r="M636" s="2"/>
      <c r="N636" s="2"/>
      <c r="O636" s="2"/>
    </row>
    <row r="637" spans="1:15" s="12" customFormat="1" x14ac:dyDescent="0.2">
      <c r="A637" s="1" t="s">
        <v>134</v>
      </c>
      <c r="B637" s="1"/>
      <c r="C637" s="275">
        <v>98.68</v>
      </c>
      <c r="D637" s="275">
        <v>17.670000000000002</v>
      </c>
      <c r="E637" s="2"/>
      <c r="F637" s="279">
        <v>32</v>
      </c>
      <c r="G637" s="9">
        <f t="shared" si="57"/>
        <v>3645</v>
      </c>
      <c r="H637" s="279">
        <v>32</v>
      </c>
      <c r="I637" s="278">
        <v>148141</v>
      </c>
      <c r="J637" s="34">
        <v>4217</v>
      </c>
      <c r="K637" s="34">
        <v>4217</v>
      </c>
      <c r="L637" s="8"/>
      <c r="M637" s="2"/>
      <c r="N637" s="2"/>
      <c r="O637" s="2"/>
    </row>
    <row r="638" spans="1:15" s="12" customFormat="1" x14ac:dyDescent="0.2">
      <c r="A638" s="1" t="s">
        <v>135</v>
      </c>
      <c r="B638" s="1"/>
      <c r="C638" s="275">
        <v>0</v>
      </c>
      <c r="D638" s="275">
        <v>198.57</v>
      </c>
      <c r="E638" s="2"/>
      <c r="F638" s="279">
        <v>33</v>
      </c>
      <c r="G638" s="9">
        <f t="shared" si="57"/>
        <v>3750</v>
      </c>
      <c r="H638" s="279">
        <v>33</v>
      </c>
      <c r="I638" s="278">
        <v>152358</v>
      </c>
      <c r="J638" s="34">
        <v>4217</v>
      </c>
      <c r="K638" s="34">
        <v>4217</v>
      </c>
      <c r="L638" s="8"/>
      <c r="M638" s="2"/>
      <c r="N638" s="2"/>
      <c r="O638" s="2"/>
    </row>
    <row r="639" spans="1:15" s="12" customFormat="1" x14ac:dyDescent="0.2">
      <c r="A639" s="2"/>
      <c r="B639" s="2"/>
      <c r="C639" s="2"/>
      <c r="D639" s="2"/>
      <c r="E639" s="2"/>
      <c r="F639" s="279">
        <v>34</v>
      </c>
      <c r="G639" s="9">
        <f t="shared" si="57"/>
        <v>3855</v>
      </c>
      <c r="H639" s="279">
        <v>34</v>
      </c>
      <c r="I639" s="278">
        <v>156575</v>
      </c>
      <c r="J639" s="34">
        <v>4217</v>
      </c>
      <c r="K639" s="34">
        <v>4217</v>
      </c>
      <c r="L639" s="8"/>
      <c r="M639" s="2"/>
      <c r="N639" s="2"/>
      <c r="O639" s="2"/>
    </row>
    <row r="640" spans="1:15" s="12" customFormat="1" x14ac:dyDescent="0.2">
      <c r="A640" s="2"/>
      <c r="B640" s="2"/>
      <c r="C640" s="2"/>
      <c r="D640" s="2"/>
      <c r="E640" s="2"/>
      <c r="F640" s="279">
        <v>35</v>
      </c>
      <c r="G640" s="9">
        <f t="shared" si="57"/>
        <v>3960</v>
      </c>
      <c r="H640" s="279">
        <v>35</v>
      </c>
      <c r="I640" s="278">
        <v>160792</v>
      </c>
      <c r="J640" s="34">
        <v>4217</v>
      </c>
      <c r="K640" s="34">
        <v>4217</v>
      </c>
      <c r="L640" s="8"/>
      <c r="M640" s="2"/>
      <c r="N640" s="2"/>
      <c r="O640" s="2"/>
    </row>
    <row r="641" spans="1:15" s="12" customFormat="1" x14ac:dyDescent="0.2">
      <c r="A641" s="2"/>
      <c r="B641" s="2"/>
      <c r="C641" s="2"/>
      <c r="D641" s="2"/>
      <c r="E641" s="2"/>
      <c r="F641" s="9">
        <v>36</v>
      </c>
      <c r="G641" s="9">
        <f t="shared" si="57"/>
        <v>4065</v>
      </c>
      <c r="H641" s="9">
        <v>36</v>
      </c>
      <c r="I641" s="278">
        <v>165009</v>
      </c>
      <c r="J641" s="34">
        <v>4217</v>
      </c>
      <c r="K641" s="34">
        <v>4217</v>
      </c>
      <c r="L641" s="8"/>
      <c r="M641" s="2"/>
      <c r="N641" s="2"/>
      <c r="O641" s="2"/>
    </row>
    <row r="642" spans="1:15" s="12" customFormat="1" x14ac:dyDescent="0.2">
      <c r="A642" s="2"/>
      <c r="B642" s="2"/>
      <c r="C642" s="2"/>
      <c r="D642" s="2"/>
      <c r="E642" s="2"/>
      <c r="F642" s="9">
        <v>37</v>
      </c>
      <c r="G642" s="9">
        <f t="shared" si="57"/>
        <v>4170</v>
      </c>
      <c r="H642" s="9">
        <v>37</v>
      </c>
      <c r="I642" s="278">
        <v>169226</v>
      </c>
      <c r="J642" s="34">
        <v>4217</v>
      </c>
      <c r="K642" s="34">
        <v>4217</v>
      </c>
      <c r="L642" s="8"/>
      <c r="M642" s="2"/>
      <c r="N642" s="2"/>
      <c r="O642" s="2"/>
    </row>
    <row r="643" spans="1:15" s="12" customFormat="1" x14ac:dyDescent="0.2">
      <c r="A643" s="2"/>
      <c r="B643" s="2"/>
      <c r="C643" s="2"/>
      <c r="D643" s="2"/>
      <c r="E643" s="2"/>
      <c r="F643" s="9">
        <v>38</v>
      </c>
      <c r="G643" s="9">
        <f t="shared" si="57"/>
        <v>4275</v>
      </c>
      <c r="H643" s="9">
        <v>38</v>
      </c>
      <c r="I643" s="278">
        <v>173443</v>
      </c>
      <c r="J643" s="34">
        <v>4217</v>
      </c>
      <c r="K643" s="34">
        <v>4217</v>
      </c>
      <c r="L643" s="8"/>
      <c r="M643" s="2"/>
      <c r="N643" s="2"/>
      <c r="O643" s="2"/>
    </row>
    <row r="644" spans="1:15" s="12" customFormat="1" x14ac:dyDescent="0.2">
      <c r="A644" s="2"/>
      <c r="B644" s="2"/>
      <c r="C644" s="2"/>
      <c r="D644" s="2"/>
      <c r="E644" s="2"/>
      <c r="F644" s="9">
        <v>39</v>
      </c>
      <c r="G644" s="9">
        <f t="shared" si="57"/>
        <v>4380</v>
      </c>
      <c r="H644" s="9">
        <v>39</v>
      </c>
      <c r="I644" s="278">
        <v>177660</v>
      </c>
      <c r="J644" s="34">
        <v>4217</v>
      </c>
      <c r="K644" s="34">
        <v>4217</v>
      </c>
      <c r="L644" s="8"/>
      <c r="M644" s="2"/>
      <c r="N644" s="2"/>
      <c r="O644" s="2"/>
    </row>
    <row r="645" spans="1:15" s="12" customFormat="1" x14ac:dyDescent="0.2">
      <c r="A645" s="2"/>
      <c r="B645" s="2"/>
      <c r="C645" s="2"/>
      <c r="D645" s="2"/>
      <c r="E645" s="2"/>
      <c r="F645" s="9">
        <v>40</v>
      </c>
      <c r="G645" s="9">
        <f t="shared" si="57"/>
        <v>4485</v>
      </c>
      <c r="H645" s="9">
        <v>40</v>
      </c>
      <c r="I645" s="278">
        <v>181877</v>
      </c>
      <c r="J645" s="34">
        <v>4217</v>
      </c>
      <c r="K645" s="34">
        <v>4217</v>
      </c>
      <c r="L645" s="8"/>
      <c r="M645" s="2"/>
      <c r="N645" s="2"/>
      <c r="O645" s="2"/>
    </row>
    <row r="646" spans="1:15" s="12" customFormat="1" x14ac:dyDescent="0.2">
      <c r="A646" s="2"/>
      <c r="B646" s="2"/>
      <c r="C646" s="2"/>
      <c r="D646" s="2"/>
      <c r="E646" s="2"/>
      <c r="F646" s="9">
        <v>41</v>
      </c>
      <c r="G646" s="9">
        <f t="shared" si="57"/>
        <v>4590</v>
      </c>
      <c r="H646" s="9">
        <v>41</v>
      </c>
      <c r="I646" s="278">
        <v>186094</v>
      </c>
      <c r="J646" s="34">
        <v>4217</v>
      </c>
      <c r="K646" s="34">
        <v>4217</v>
      </c>
      <c r="L646" s="8"/>
      <c r="M646" s="2"/>
      <c r="N646" s="2"/>
      <c r="O646" s="2"/>
    </row>
    <row r="647" spans="1:15" s="12" customFormat="1" x14ac:dyDescent="0.2">
      <c r="A647" s="2"/>
      <c r="B647" s="2"/>
      <c r="C647" s="2"/>
      <c r="D647" s="2"/>
      <c r="E647" s="2"/>
      <c r="F647" s="9">
        <v>42</v>
      </c>
      <c r="G647" s="9">
        <f t="shared" si="57"/>
        <v>4695</v>
      </c>
      <c r="H647" s="9">
        <v>42</v>
      </c>
      <c r="I647" s="278">
        <v>190311</v>
      </c>
      <c r="J647" s="34">
        <v>4217</v>
      </c>
      <c r="K647" s="34">
        <v>4217</v>
      </c>
      <c r="L647" s="8"/>
      <c r="M647" s="2"/>
      <c r="N647" s="2"/>
      <c r="O647" s="2"/>
    </row>
    <row r="648" spans="1:15" s="12" customFormat="1" x14ac:dyDescent="0.2">
      <c r="A648" s="2"/>
      <c r="B648" s="2"/>
      <c r="C648" s="2"/>
      <c r="D648" s="2"/>
      <c r="E648" s="2"/>
      <c r="F648" s="9">
        <v>43</v>
      </c>
      <c r="G648" s="9">
        <f t="shared" si="57"/>
        <v>4800</v>
      </c>
      <c r="H648" s="9">
        <v>43</v>
      </c>
      <c r="I648" s="278">
        <v>194528</v>
      </c>
      <c r="J648" s="34">
        <v>4217</v>
      </c>
      <c r="K648" s="34">
        <v>4217</v>
      </c>
      <c r="L648" s="8"/>
      <c r="M648" s="2"/>
      <c r="N648" s="2"/>
      <c r="O648" s="2"/>
    </row>
    <row r="649" spans="1:15" s="12" customFormat="1" x14ac:dyDescent="0.2">
      <c r="A649" s="2"/>
      <c r="B649" s="2"/>
      <c r="C649" s="2"/>
      <c r="D649" s="2"/>
      <c r="E649" s="2"/>
      <c r="F649" s="9">
        <v>44</v>
      </c>
      <c r="G649" s="9">
        <f t="shared" si="57"/>
        <v>4905</v>
      </c>
      <c r="H649" s="9">
        <v>44</v>
      </c>
      <c r="I649" s="278">
        <v>198745</v>
      </c>
      <c r="J649" s="34">
        <v>4217</v>
      </c>
      <c r="K649" s="34">
        <v>4217</v>
      </c>
      <c r="L649" s="8"/>
      <c r="M649" s="2"/>
      <c r="N649" s="2"/>
      <c r="O649" s="2"/>
    </row>
    <row r="650" spans="1:15" s="12" customFormat="1" x14ac:dyDescent="0.2">
      <c r="A650" s="2"/>
      <c r="B650" s="2"/>
      <c r="C650" s="2"/>
      <c r="D650" s="2"/>
      <c r="E650" s="2"/>
      <c r="F650" s="9">
        <v>45</v>
      </c>
      <c r="G650" s="9">
        <f t="shared" si="57"/>
        <v>5010</v>
      </c>
      <c r="H650" s="9">
        <v>45</v>
      </c>
      <c r="I650" s="278">
        <v>202962</v>
      </c>
      <c r="J650" s="34">
        <v>4217</v>
      </c>
      <c r="K650" s="34">
        <v>4217</v>
      </c>
      <c r="L650" s="8"/>
      <c r="M650" s="2"/>
      <c r="N650" s="2"/>
      <c r="O650" s="2"/>
    </row>
    <row r="651" spans="1:15" s="12" customFormat="1" x14ac:dyDescent="0.2">
      <c r="A651" s="2"/>
      <c r="B651" s="2"/>
      <c r="C651" s="2"/>
      <c r="D651" s="2"/>
      <c r="E651" s="2"/>
      <c r="F651" s="9">
        <v>46</v>
      </c>
      <c r="G651" s="9">
        <f t="shared" si="57"/>
        <v>5115</v>
      </c>
      <c r="H651" s="9">
        <v>46</v>
      </c>
      <c r="I651" s="278">
        <v>207179</v>
      </c>
      <c r="J651" s="34">
        <v>4217</v>
      </c>
      <c r="K651" s="34">
        <v>4217</v>
      </c>
      <c r="L651" s="8"/>
      <c r="M651" s="2"/>
      <c r="N651" s="2"/>
      <c r="O651" s="2"/>
    </row>
    <row r="652" spans="1:15" s="12" customFormat="1" x14ac:dyDescent="0.2">
      <c r="A652" s="2"/>
      <c r="B652" s="2"/>
      <c r="C652" s="2"/>
      <c r="D652" s="2"/>
      <c r="E652" s="2"/>
      <c r="F652" s="9">
        <v>47</v>
      </c>
      <c r="G652" s="9">
        <f t="shared" si="57"/>
        <v>5220</v>
      </c>
      <c r="H652" s="9">
        <v>47</v>
      </c>
      <c r="I652" s="278">
        <v>211396</v>
      </c>
      <c r="J652" s="34">
        <v>4217</v>
      </c>
      <c r="K652" s="34">
        <v>4217</v>
      </c>
      <c r="L652" s="8"/>
      <c r="M652" s="2"/>
      <c r="N652" s="2"/>
      <c r="O652" s="2"/>
    </row>
    <row r="653" spans="1:15" s="12" customFormat="1" x14ac:dyDescent="0.2">
      <c r="A653" s="2"/>
      <c r="B653" s="2"/>
      <c r="C653" s="2"/>
      <c r="D653" s="2"/>
      <c r="E653" s="2"/>
      <c r="F653" s="9">
        <v>48</v>
      </c>
      <c r="G653" s="9">
        <f t="shared" si="57"/>
        <v>5325</v>
      </c>
      <c r="H653" s="9">
        <v>48</v>
      </c>
      <c r="I653" s="278">
        <v>215613</v>
      </c>
      <c r="J653" s="34">
        <v>4217</v>
      </c>
      <c r="K653" s="34">
        <v>4217</v>
      </c>
      <c r="L653" s="8"/>
      <c r="M653" s="2"/>
      <c r="N653" s="2"/>
      <c r="O653" s="2"/>
    </row>
    <row r="654" spans="1:15" s="12" customFormat="1" x14ac:dyDescent="0.2">
      <c r="A654" s="2"/>
      <c r="B654" s="2"/>
      <c r="C654" s="2"/>
      <c r="D654" s="2"/>
      <c r="E654" s="2"/>
      <c r="F654" s="9">
        <v>49</v>
      </c>
      <c r="G654" s="9">
        <f t="shared" si="57"/>
        <v>5430</v>
      </c>
      <c r="H654" s="9">
        <v>49</v>
      </c>
      <c r="I654" s="278">
        <v>219830</v>
      </c>
      <c r="J654" s="34">
        <v>4217</v>
      </c>
      <c r="K654" s="34">
        <v>4217</v>
      </c>
      <c r="L654" s="8"/>
      <c r="M654" s="2"/>
      <c r="N654" s="2"/>
      <c r="O654" s="2"/>
    </row>
    <row r="655" spans="1:15" s="12" customFormat="1" x14ac:dyDescent="0.2">
      <c r="A655" s="2"/>
      <c r="B655" s="2"/>
      <c r="C655" s="2"/>
      <c r="D655" s="2"/>
      <c r="E655" s="2"/>
      <c r="F655" s="9">
        <v>50</v>
      </c>
      <c r="G655" s="9">
        <f t="shared" si="57"/>
        <v>5535</v>
      </c>
      <c r="H655" s="9">
        <v>50</v>
      </c>
      <c r="I655" s="278">
        <v>224047</v>
      </c>
      <c r="J655" s="34">
        <v>4217</v>
      </c>
      <c r="K655" s="34">
        <v>4217</v>
      </c>
      <c r="L655" s="8"/>
      <c r="M655" s="2"/>
      <c r="N655" s="2"/>
      <c r="O655" s="2"/>
    </row>
    <row r="656" spans="1:15" s="12" customFormat="1" x14ac:dyDescent="0.2">
      <c r="A656" s="25"/>
      <c r="D656" s="29"/>
    </row>
    <row r="657" spans="1:5" s="12" customFormat="1" x14ac:dyDescent="0.2">
      <c r="A657" s="25"/>
      <c r="D657" s="29"/>
    </row>
    <row r="658" spans="1:5" s="12" customFormat="1" x14ac:dyDescent="0.2">
      <c r="A658" s="25"/>
      <c r="D658" s="29"/>
    </row>
    <row r="659" spans="1:5" s="12" customFormat="1" x14ac:dyDescent="0.2">
      <c r="A659" s="25"/>
      <c r="D659" s="29"/>
    </row>
    <row r="660" spans="1:5" s="12" customFormat="1" x14ac:dyDescent="0.2">
      <c r="A660" s="25"/>
      <c r="D660" s="29"/>
    </row>
    <row r="661" spans="1:5" s="12" customFormat="1" x14ac:dyDescent="0.2">
      <c r="A661" s="25"/>
      <c r="D661" s="29"/>
    </row>
    <row r="662" spans="1:5" s="12" customFormat="1" x14ac:dyDescent="0.2">
      <c r="A662" s="25"/>
      <c r="D662" s="29"/>
    </row>
    <row r="663" spans="1:5" s="12" customFormat="1" x14ac:dyDescent="0.2">
      <c r="A663" s="25"/>
      <c r="D663" s="29"/>
    </row>
    <row r="664" spans="1:5" s="12" customFormat="1" x14ac:dyDescent="0.2">
      <c r="A664" s="25"/>
      <c r="D664" s="29"/>
    </row>
    <row r="665" spans="1:5" s="12" customFormat="1" x14ac:dyDescent="0.2">
      <c r="A665" s="25"/>
      <c r="D665" s="29"/>
    </row>
    <row r="666" spans="1:5" s="12" customFormat="1" x14ac:dyDescent="0.2">
      <c r="A666" s="25"/>
      <c r="D666" s="29"/>
    </row>
    <row r="667" spans="1:5" s="12" customFormat="1" x14ac:dyDescent="0.2"/>
    <row r="668" spans="1:5" s="12" customFormat="1" x14ac:dyDescent="0.2"/>
    <row r="669" spans="1:5" s="12" customFormat="1" x14ac:dyDescent="0.2">
      <c r="A669" s="15"/>
      <c r="D669" s="14"/>
      <c r="E669" s="1"/>
    </row>
    <row r="670" spans="1:5" s="12" customFormat="1" x14ac:dyDescent="0.2">
      <c r="A670" s="27"/>
      <c r="D670" s="27"/>
      <c r="E670" s="27"/>
    </row>
    <row r="671" spans="1:5" s="12" customFormat="1" x14ac:dyDescent="0.2">
      <c r="A671" s="23"/>
      <c r="D671" s="30"/>
      <c r="E671" s="27"/>
    </row>
    <row r="672" spans="1:5" s="12" customFormat="1" x14ac:dyDescent="0.2">
      <c r="A672" s="23"/>
      <c r="D672" s="30"/>
      <c r="E672" s="27"/>
    </row>
    <row r="673" spans="1:5" s="12" customFormat="1" x14ac:dyDescent="0.2">
      <c r="A673" s="27"/>
      <c r="D673" s="27"/>
      <c r="E673" s="27"/>
    </row>
    <row r="674" spans="1:5" s="12" customFormat="1" x14ac:dyDescent="0.2">
      <c r="A674" s="27"/>
      <c r="D674" s="27"/>
      <c r="E674" s="27"/>
    </row>
    <row r="675" spans="1:5" s="12" customFormat="1" x14ac:dyDescent="0.2">
      <c r="A675" s="27"/>
      <c r="D675" s="27"/>
      <c r="E675" s="27"/>
    </row>
    <row r="676" spans="1:5" s="12" customFormat="1" x14ac:dyDescent="0.2">
      <c r="A676" s="27"/>
      <c r="D676" s="27"/>
      <c r="E676" s="22"/>
    </row>
    <row r="677" spans="1:5" s="12" customFormat="1" x14ac:dyDescent="0.2">
      <c r="A677" s="27"/>
      <c r="D677" s="27"/>
      <c r="E677" s="22"/>
    </row>
    <row r="678" spans="1:5" s="12" customFormat="1" x14ac:dyDescent="0.2">
      <c r="A678" s="27"/>
      <c r="D678" s="27"/>
      <c r="E678" s="1"/>
    </row>
    <row r="679" spans="1:5" s="12" customFormat="1" x14ac:dyDescent="0.2">
      <c r="A679" s="27"/>
      <c r="D679" s="27"/>
      <c r="E679" s="1"/>
    </row>
    <row r="680" spans="1:5" s="12" customFormat="1" x14ac:dyDescent="0.2">
      <c r="A680" s="27"/>
      <c r="D680" s="27"/>
      <c r="E680" s="1"/>
    </row>
    <row r="681" spans="1:5" s="12" customFormat="1" x14ac:dyDescent="0.2">
      <c r="A681" s="27"/>
      <c r="D681" s="27"/>
      <c r="E681" s="1"/>
    </row>
    <row r="682" spans="1:5" s="12" customFormat="1" x14ac:dyDescent="0.2">
      <c r="A682" s="27"/>
      <c r="D682" s="27"/>
      <c r="E682" s="22"/>
    </row>
    <row r="683" spans="1:5" s="12" customFormat="1" x14ac:dyDescent="0.2">
      <c r="A683" s="27"/>
      <c r="D683" s="27"/>
      <c r="E683" s="22"/>
    </row>
    <row r="684" spans="1:5" s="12" customFormat="1" x14ac:dyDescent="0.2">
      <c r="A684" s="27"/>
      <c r="D684" s="27"/>
      <c r="E684" s="22"/>
    </row>
    <row r="685" spans="1:5" s="12" customFormat="1" x14ac:dyDescent="0.2">
      <c r="A685" s="27"/>
      <c r="D685" s="27"/>
      <c r="E685" s="22"/>
    </row>
    <row r="686" spans="1:5" s="12" customFormat="1" x14ac:dyDescent="0.2">
      <c r="A686" s="14"/>
      <c r="D686" s="14"/>
      <c r="E686" s="1"/>
    </row>
    <row r="687" spans="1:5" s="12" customFormat="1" x14ac:dyDescent="0.2">
      <c r="A687" s="27"/>
      <c r="D687" s="14"/>
      <c r="E687" s="1"/>
    </row>
    <row r="688" spans="1:5" s="12" customFormat="1" x14ac:dyDescent="0.2"/>
    <row r="689" spans="1:5" s="12" customFormat="1" x14ac:dyDescent="0.2"/>
    <row r="690" spans="1:5" s="12" customFormat="1" x14ac:dyDescent="0.2"/>
    <row r="691" spans="1:5" s="12" customFormat="1" x14ac:dyDescent="0.2"/>
    <row r="692" spans="1:5" s="12" customFormat="1" x14ac:dyDescent="0.2">
      <c r="A692" s="31"/>
      <c r="B692" s="11"/>
      <c r="C692" s="11"/>
      <c r="D692" s="11"/>
    </row>
    <row r="693" spans="1:5" s="12" customFormat="1" x14ac:dyDescent="0.2">
      <c r="A693" s="31"/>
      <c r="B693" s="11"/>
      <c r="C693" s="11"/>
      <c r="D693" s="11"/>
    </row>
    <row r="694" spans="1:5" s="12" customFormat="1" x14ac:dyDescent="0.2">
      <c r="A694" s="11"/>
      <c r="B694" s="11"/>
      <c r="C694" s="11"/>
      <c r="D694" s="11"/>
    </row>
    <row r="695" spans="1:5" s="12" customFormat="1" x14ac:dyDescent="0.2">
      <c r="A695" s="11"/>
      <c r="B695" s="11"/>
      <c r="C695" s="11"/>
      <c r="D695" s="11"/>
    </row>
    <row r="696" spans="1:5" s="12" customFormat="1" x14ac:dyDescent="0.2">
      <c r="A696" s="31"/>
      <c r="B696" s="11"/>
      <c r="C696" s="11"/>
      <c r="D696" s="11"/>
    </row>
    <row r="697" spans="1:5" s="12" customFormat="1" x14ac:dyDescent="0.2">
      <c r="A697" s="11"/>
      <c r="E697" s="32"/>
    </row>
    <row r="698" spans="1:5" s="12" customFormat="1" x14ac:dyDescent="0.2">
      <c r="A698" s="11"/>
      <c r="E698" s="31"/>
    </row>
    <row r="699" spans="1:5" s="12" customFormat="1" x14ac:dyDescent="0.2">
      <c r="A699" s="11"/>
      <c r="E699" s="33"/>
    </row>
    <row r="700" spans="1:5" s="12" customFormat="1" x14ac:dyDescent="0.2">
      <c r="A700" s="11"/>
      <c r="E700" s="33"/>
    </row>
    <row r="701" spans="1:5" s="12" customFormat="1" x14ac:dyDescent="0.2"/>
    <row r="702" spans="1:5" s="12" customFormat="1" x14ac:dyDescent="0.2"/>
  </sheetData>
  <mergeCells count="12">
    <mergeCell ref="C2:D2"/>
    <mergeCell ref="C56:D56"/>
    <mergeCell ref="C113:D113"/>
    <mergeCell ref="C169:D169"/>
    <mergeCell ref="C604:D604"/>
    <mergeCell ref="C385:D385"/>
    <mergeCell ref="C439:D439"/>
    <mergeCell ref="C223:D223"/>
    <mergeCell ref="C277:D277"/>
    <mergeCell ref="C331:D331"/>
    <mergeCell ref="C494:D494"/>
    <mergeCell ref="C549:D549"/>
  </mergeCells>
  <phoneticPr fontId="0" type="noConversion"/>
  <hyperlinks>
    <hyperlink ref="G112" r:id="rId1"/>
  </hyperlinks>
  <pageMargins left="0.75" right="0.75" top="1" bottom="1" header="0.5" footer="0.5"/>
  <pageSetup paperSize="9" scale="50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6"/>
  <dimension ref="B1:Q288"/>
  <sheetViews>
    <sheetView showGridLines="0" zoomScale="85" zoomScaleNormal="85" zoomScaleSheetLayoutView="85" workbookViewId="0">
      <pane ySplit="11" topLeftCell="A12" activePane="bottomLeft" state="frozen"/>
      <selection activeCell="H19" sqref="H19"/>
      <selection pane="bottomLeft" activeCell="B2" sqref="B2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>De Testschool</v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I10" si="0">G9-1</f>
        <v>2015</v>
      </c>
      <c r="H10" s="482">
        <f t="shared" si="0"/>
        <v>2016</v>
      </c>
      <c r="I10" s="482">
        <f t="shared" si="0"/>
        <v>2017</v>
      </c>
      <c r="J10" s="482">
        <f t="shared" ref="J10:K10" si="1">J9-1</f>
        <v>2018</v>
      </c>
      <c r="K10" s="482">
        <f t="shared" si="1"/>
        <v>2019</v>
      </c>
      <c r="L10" s="482">
        <f t="shared" ref="L10" si="2">L9-1</f>
        <v>2020</v>
      </c>
      <c r="M10" s="482">
        <f t="shared" ref="M10" si="3">M9-1</f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 t="s">
        <v>314</v>
      </c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613" t="s">
        <v>323</v>
      </c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40.19</v>
      </c>
      <c r="H18" s="227">
        <f t="shared" ref="H18:M18" si="4">G18</f>
        <v>40.19</v>
      </c>
      <c r="I18" s="227">
        <f t="shared" si="4"/>
        <v>40.19</v>
      </c>
      <c r="J18" s="227">
        <f t="shared" si="4"/>
        <v>40.19</v>
      </c>
      <c r="K18" s="227">
        <f t="shared" si="4"/>
        <v>40.19</v>
      </c>
      <c r="L18" s="227">
        <f t="shared" si="4"/>
        <v>40.19</v>
      </c>
      <c r="M18" s="227">
        <f t="shared" si="4"/>
        <v>40.19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110</v>
      </c>
      <c r="H24" s="237">
        <f t="shared" ref="H24:M25" si="5">G24</f>
        <v>110</v>
      </c>
      <c r="I24" s="237">
        <f t="shared" si="5"/>
        <v>110</v>
      </c>
      <c r="J24" s="237">
        <f t="shared" si="5"/>
        <v>110</v>
      </c>
      <c r="K24" s="237">
        <f t="shared" si="5"/>
        <v>110</v>
      </c>
      <c r="L24" s="237">
        <f t="shared" si="5"/>
        <v>110</v>
      </c>
      <c r="M24" s="237">
        <f t="shared" si="5"/>
        <v>110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110</v>
      </c>
      <c r="H25" s="237">
        <f t="shared" si="5"/>
        <v>110</v>
      </c>
      <c r="I25" s="237">
        <f t="shared" si="5"/>
        <v>110</v>
      </c>
      <c r="J25" s="237">
        <f t="shared" si="5"/>
        <v>110</v>
      </c>
      <c r="K25" s="237">
        <f t="shared" si="5"/>
        <v>110</v>
      </c>
      <c r="L25" s="237">
        <f t="shared" si="5"/>
        <v>110</v>
      </c>
      <c r="M25" s="237">
        <f t="shared" si="5"/>
        <v>110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J26" si="6">G24+G25</f>
        <v>220</v>
      </c>
      <c r="H26" s="355">
        <f t="shared" si="6"/>
        <v>220</v>
      </c>
      <c r="I26" s="355">
        <f t="shared" si="6"/>
        <v>220</v>
      </c>
      <c r="J26" s="355">
        <f t="shared" si="6"/>
        <v>220</v>
      </c>
      <c r="K26" s="355">
        <f t="shared" ref="K26:L26" si="7">K24+K25</f>
        <v>220</v>
      </c>
      <c r="L26" s="355">
        <f t="shared" si="7"/>
        <v>220</v>
      </c>
      <c r="M26" s="355">
        <f t="shared" ref="M26" si="8">M24+M25</f>
        <v>220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22</v>
      </c>
      <c r="H27" s="237">
        <f t="shared" ref="H27:M28" si="9">G27</f>
        <v>22</v>
      </c>
      <c r="I27" s="237">
        <f t="shared" si="9"/>
        <v>22</v>
      </c>
      <c r="J27" s="237">
        <f t="shared" si="9"/>
        <v>22</v>
      </c>
      <c r="K27" s="237">
        <f t="shared" si="9"/>
        <v>22</v>
      </c>
      <c r="L27" s="237">
        <f t="shared" si="9"/>
        <v>22</v>
      </c>
      <c r="M27" s="237">
        <f t="shared" si="9"/>
        <v>22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11</v>
      </c>
      <c r="H28" s="237">
        <f t="shared" si="9"/>
        <v>11</v>
      </c>
      <c r="I28" s="237">
        <f t="shared" si="9"/>
        <v>11</v>
      </c>
      <c r="J28" s="237">
        <f t="shared" si="9"/>
        <v>11</v>
      </c>
      <c r="K28" s="237">
        <f t="shared" si="9"/>
        <v>11</v>
      </c>
      <c r="L28" s="237">
        <f t="shared" si="9"/>
        <v>11</v>
      </c>
      <c r="M28" s="237">
        <f t="shared" si="9"/>
        <v>11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I29" si="10">($E$27*G27)+($E$28*G28)</f>
        <v>19.799999999999997</v>
      </c>
      <c r="H29" s="430">
        <f t="shared" si="10"/>
        <v>19.799999999999997</v>
      </c>
      <c r="I29" s="430">
        <f t="shared" si="10"/>
        <v>19.799999999999997</v>
      </c>
      <c r="J29" s="430">
        <f t="shared" ref="J29:K29" si="11">($E$27*J27)+($E$28*J28)</f>
        <v>19.799999999999997</v>
      </c>
      <c r="K29" s="430">
        <f t="shared" si="11"/>
        <v>19.799999999999997</v>
      </c>
      <c r="L29" s="430">
        <f t="shared" ref="L29:M29" si="12">($E$27*L27)+($E$28*L28)</f>
        <v>19.799999999999997</v>
      </c>
      <c r="M29" s="430">
        <f t="shared" si="12"/>
        <v>19.799999999999997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I30" si="13">ROUND(IF(G31&lt;(G26*0.8),G31,(0.8*G26)),0)</f>
        <v>7</v>
      </c>
      <c r="H30" s="420">
        <f t="shared" si="13"/>
        <v>7</v>
      </c>
      <c r="I30" s="420">
        <f t="shared" si="13"/>
        <v>7</v>
      </c>
      <c r="J30" s="420">
        <f t="shared" ref="J30:K30" si="14">ROUND(IF(J31&lt;(J26*0.8),J31,(0.8*J26)),0)</f>
        <v>7</v>
      </c>
      <c r="K30" s="420">
        <f t="shared" si="14"/>
        <v>7</v>
      </c>
      <c r="L30" s="420">
        <f t="shared" ref="L30:M30" si="15">ROUND(IF(L31&lt;(L26*0.8),L31,(0.8*L26)),0)</f>
        <v>7</v>
      </c>
      <c r="M30" s="420">
        <f t="shared" si="15"/>
        <v>7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7</v>
      </c>
      <c r="H31" s="271">
        <f>IF((ROUND(IF(H29-(tabpers!N44*H26)&lt;0,0,(H29-(tabpers!N44*H26))),0))&lt;(H50+H61),(H50+H61),((ROUND(IF(H29-(tabpers!N44*H26)&lt;0,0,(H29-(tabpers!N44*H26))),0))))</f>
        <v>7</v>
      </c>
      <c r="I31" s="271">
        <f>IF((ROUND(IF(I29-(tabpers!O44*I26)&lt;0,0,(I29-(tabpers!O44*I26))),0))&lt;(I50+I61),(I50+I61),((ROUND(IF(I29-(tabpers!O44*I26)&lt;0,0,(I29-(tabpers!O44*I26))),0))))</f>
        <v>7</v>
      </c>
      <c r="J31" s="271">
        <f>IF((ROUND(IF(J29-(tabpers!P44*J26)&lt;0,0,(J29-(tabpers!P44*J26))),0))&lt;(J50+J61),(J50+J61),((ROUND(IF(J29-(tabpers!P44*J26)&lt;0,0,(J29-(tabpers!P44*J26))),0))))</f>
        <v>7</v>
      </c>
      <c r="K31" s="271">
        <f>IF((ROUND(IF(K29-(tabpers!Q44*K26)&lt;0,0,(K29-(tabpers!Q44*K26))),0))&lt;(K50+K61),(K50+K61),((ROUND(IF(K29-(tabpers!Q44*K26)&lt;0,0,(K29-(tabpers!Q44*K26))),0))))</f>
        <v>7</v>
      </c>
      <c r="L31" s="271">
        <f>IF((ROUND(IF(L29-(tabpers!R44*L26)&lt;0,0,(L29-(tabpers!R44*L26))),0))&lt;(L50+L61),(L50+L61),((ROUND(IF(L29-(tabpers!R44*L26)&lt;0,0,(L29-(tabpers!R44*L26))),0))))</f>
        <v>7</v>
      </c>
      <c r="M31" s="271">
        <f>IF((ROUND(IF(M29-(tabpers!S44*M26)&lt;0,0,(M29-(tabpers!S44*M26))),0))&lt;(M50+M61),(M50+M61),((ROUND(IF(M29-(tabpers!S44*M26)&lt;0,0,(M29-(tabpers!S44*M26))),0))))</f>
        <v>7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I32" si="16">FLOOR(G26*1.03,1)</f>
        <v>226</v>
      </c>
      <c r="H32" s="431">
        <f t="shared" si="16"/>
        <v>226</v>
      </c>
      <c r="I32" s="431">
        <f t="shared" si="16"/>
        <v>226</v>
      </c>
      <c r="J32" s="431">
        <f t="shared" ref="J32:K32" si="17">FLOOR(J26*1.03,1)</f>
        <v>226</v>
      </c>
      <c r="K32" s="431">
        <f t="shared" si="17"/>
        <v>226</v>
      </c>
      <c r="L32" s="431">
        <f t="shared" ref="L32:M32" si="18">FLOOR(L26*1.03,1)</f>
        <v>226</v>
      </c>
      <c r="M32" s="431">
        <f t="shared" si="18"/>
        <v>226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19">+G34</f>
        <v>nee</v>
      </c>
      <c r="I34" s="236" t="str">
        <f t="shared" si="19"/>
        <v>nee</v>
      </c>
      <c r="J34" s="236" t="str">
        <f t="shared" si="19"/>
        <v>nee</v>
      </c>
      <c r="K34" s="236" t="str">
        <f t="shared" si="19"/>
        <v>nee</v>
      </c>
      <c r="L34" s="236" t="str">
        <f t="shared" si="19"/>
        <v>nee</v>
      </c>
      <c r="M34" s="236" t="str">
        <f t="shared" si="19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20">SUM(G27:G28)</f>
        <v>33</v>
      </c>
      <c r="H35" s="400">
        <f t="shared" ref="H35:I35" si="21">SUM(H27:H28)</f>
        <v>33</v>
      </c>
      <c r="I35" s="400">
        <f t="shared" si="21"/>
        <v>33</v>
      </c>
      <c r="J35" s="400">
        <f t="shared" ref="J35:K35" si="22">SUM(J27:J28)</f>
        <v>33</v>
      </c>
      <c r="K35" s="400">
        <f t="shared" si="22"/>
        <v>33</v>
      </c>
      <c r="L35" s="400">
        <f t="shared" ref="L35:M35" si="23">SUM(L27:L28)</f>
        <v>33</v>
      </c>
      <c r="M35" s="400">
        <f t="shared" si="23"/>
        <v>33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24">G36</f>
        <v>0</v>
      </c>
      <c r="I36" s="237">
        <f t="shared" si="24"/>
        <v>0</v>
      </c>
      <c r="J36" s="237">
        <f t="shared" si="24"/>
        <v>0</v>
      </c>
      <c r="K36" s="237">
        <f t="shared" si="24"/>
        <v>0</v>
      </c>
      <c r="L36" s="237">
        <f t="shared" si="24"/>
        <v>0</v>
      </c>
      <c r="M36" s="237">
        <f t="shared" si="24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I44" si="25">IF(G57=0,0,(G24-G55))</f>
        <v>0</v>
      </c>
      <c r="H44" s="431">
        <f t="shared" si="25"/>
        <v>0</v>
      </c>
      <c r="I44" s="431">
        <f t="shared" si="25"/>
        <v>0</v>
      </c>
      <c r="J44" s="431">
        <f t="shared" ref="J44:K44" si="26">IF(J57=0,0,(J24-J55))</f>
        <v>0</v>
      </c>
      <c r="K44" s="431">
        <f t="shared" si="26"/>
        <v>0</v>
      </c>
      <c r="L44" s="431">
        <f t="shared" ref="L44:M44" si="27">IF(L57=0,0,(L24-L55))</f>
        <v>0</v>
      </c>
      <c r="M44" s="431">
        <f t="shared" si="27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I45" si="28">IF(G57=0,0,(G25-G56))</f>
        <v>0</v>
      </c>
      <c r="H45" s="431">
        <f t="shared" si="28"/>
        <v>0</v>
      </c>
      <c r="I45" s="431">
        <f t="shared" si="28"/>
        <v>0</v>
      </c>
      <c r="J45" s="431">
        <f t="shared" ref="J45:K45" si="29">IF(J57=0,0,(J25-J56))</f>
        <v>0</v>
      </c>
      <c r="K45" s="431">
        <f t="shared" si="29"/>
        <v>0</v>
      </c>
      <c r="L45" s="431">
        <f t="shared" ref="L45:M45" si="30">IF(L57=0,0,(L25-L56))</f>
        <v>0</v>
      </c>
      <c r="M45" s="431">
        <f t="shared" si="30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J46" si="31">G44+G45</f>
        <v>0</v>
      </c>
      <c r="H46" s="355">
        <f t="shared" si="31"/>
        <v>0</v>
      </c>
      <c r="I46" s="355">
        <f t="shared" si="31"/>
        <v>0</v>
      </c>
      <c r="J46" s="355">
        <f t="shared" si="31"/>
        <v>0</v>
      </c>
      <c r="K46" s="355">
        <f t="shared" ref="K46:L46" si="32">K44+K45</f>
        <v>0</v>
      </c>
      <c r="L46" s="355">
        <f t="shared" si="32"/>
        <v>0</v>
      </c>
      <c r="M46" s="355">
        <f t="shared" ref="M46" si="33">M44+M45</f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H48" si="34">IF(G$57=0,0,(G27-G58))</f>
        <v>0</v>
      </c>
      <c r="H47" s="431">
        <f t="shared" si="34"/>
        <v>0</v>
      </c>
      <c r="I47" s="431">
        <f t="shared" ref="I47:J47" si="35">IF(I$57=0,0,(I27-I58))</f>
        <v>0</v>
      </c>
      <c r="J47" s="431">
        <f t="shared" si="35"/>
        <v>0</v>
      </c>
      <c r="K47" s="431">
        <f t="shared" ref="K47:L47" si="36">IF(K$57=0,0,(K27-K58))</f>
        <v>0</v>
      </c>
      <c r="L47" s="431">
        <f t="shared" si="36"/>
        <v>0</v>
      </c>
      <c r="M47" s="431">
        <f t="shared" ref="M47" si="37">IF(M$57=0,0,(M27-M58))</f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34"/>
        <v>0</v>
      </c>
      <c r="H48" s="431">
        <f t="shared" si="34"/>
        <v>0</v>
      </c>
      <c r="I48" s="431">
        <f t="shared" ref="I48:J48" si="38">IF(I$57=0,0,(I28-I59))</f>
        <v>0</v>
      </c>
      <c r="J48" s="431">
        <f t="shared" si="38"/>
        <v>0</v>
      </c>
      <c r="K48" s="431">
        <f t="shared" ref="K48:L48" si="39">IF(K$57=0,0,(K28-K59))</f>
        <v>0</v>
      </c>
      <c r="L48" s="431">
        <f t="shared" si="39"/>
        <v>0</v>
      </c>
      <c r="M48" s="431">
        <f t="shared" ref="M48" si="40">IF(M$57=0,0,(M28-M59))</f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I49" si="41">($E$27*G47)+($E$28*G48)</f>
        <v>0</v>
      </c>
      <c r="H49" s="357">
        <f t="shared" si="41"/>
        <v>0</v>
      </c>
      <c r="I49" s="357">
        <f t="shared" si="41"/>
        <v>0</v>
      </c>
      <c r="J49" s="357">
        <f t="shared" ref="J49:K49" si="42">($E$27*J47)+($E$28*J48)</f>
        <v>0</v>
      </c>
      <c r="K49" s="357">
        <f t="shared" si="42"/>
        <v>0</v>
      </c>
      <c r="L49" s="357">
        <f t="shared" ref="L49:M49" si="43">($E$27*L47)+($E$28*L48)</f>
        <v>0</v>
      </c>
      <c r="M49" s="357">
        <f t="shared" si="43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I50" si="44">ROUND(IF(G53&lt;(G46*0.8),G53,(0.8*G46)),0)</f>
        <v>0</v>
      </c>
      <c r="H50" s="420">
        <f t="shared" si="44"/>
        <v>0</v>
      </c>
      <c r="I50" s="420">
        <f t="shared" si="44"/>
        <v>0</v>
      </c>
      <c r="J50" s="420">
        <f t="shared" ref="J50:K50" si="45">ROUND(IF(J53&lt;(J46*0.8),J53,(0.8*J46)),0)</f>
        <v>0</v>
      </c>
      <c r="K50" s="420">
        <f t="shared" si="45"/>
        <v>0</v>
      </c>
      <c r="L50" s="420">
        <f t="shared" ref="L50:M50" si="46">ROUND(IF(L53&lt;(L46*0.8),L53,(0.8*L46)),0)</f>
        <v>0</v>
      </c>
      <c r="M50" s="420">
        <f t="shared" si="46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47">+G51</f>
        <v>nee</v>
      </c>
      <c r="I51" s="236" t="str">
        <f t="shared" si="47"/>
        <v>nee</v>
      </c>
      <c r="J51" s="236" t="str">
        <f t="shared" si="47"/>
        <v>nee</v>
      </c>
      <c r="K51" s="236" t="str">
        <f t="shared" si="47"/>
        <v>nee</v>
      </c>
      <c r="L51" s="236" t="str">
        <f t="shared" si="47"/>
        <v>nee</v>
      </c>
      <c r="M51" s="236" t="str">
        <f t="shared" si="47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" si="48">SUM(G47:G48)</f>
        <v>0</v>
      </c>
      <c r="H52" s="356">
        <f t="shared" ref="H52:I52" si="49">SUM(H47:H48)</f>
        <v>0</v>
      </c>
      <c r="I52" s="356">
        <f t="shared" si="49"/>
        <v>0</v>
      </c>
      <c r="J52" s="356">
        <f t="shared" ref="J52:K52" si="50">SUM(J47:J48)</f>
        <v>0</v>
      </c>
      <c r="K52" s="356">
        <f t="shared" si="50"/>
        <v>0</v>
      </c>
      <c r="L52" s="356">
        <f t="shared" ref="L52:M52" si="51">SUM(L47:L48)</f>
        <v>0</v>
      </c>
      <c r="M52" s="356">
        <f t="shared" si="51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52">G55</f>
        <v>0</v>
      </c>
      <c r="I55" s="237">
        <f t="shared" si="52"/>
        <v>0</v>
      </c>
      <c r="J55" s="237">
        <f t="shared" si="52"/>
        <v>0</v>
      </c>
      <c r="K55" s="237">
        <f t="shared" si="52"/>
        <v>0</v>
      </c>
      <c r="L55" s="237">
        <f t="shared" si="52"/>
        <v>0</v>
      </c>
      <c r="M55" s="237">
        <f t="shared" si="52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52"/>
        <v>0</v>
      </c>
      <c r="I56" s="237">
        <f t="shared" si="52"/>
        <v>0</v>
      </c>
      <c r="J56" s="237">
        <f t="shared" si="52"/>
        <v>0</v>
      </c>
      <c r="K56" s="237">
        <f t="shared" si="52"/>
        <v>0</v>
      </c>
      <c r="L56" s="237">
        <f t="shared" si="52"/>
        <v>0</v>
      </c>
      <c r="M56" s="237">
        <f t="shared" si="52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J57" si="53">G55+G56</f>
        <v>0</v>
      </c>
      <c r="H57" s="355">
        <f t="shared" si="53"/>
        <v>0</v>
      </c>
      <c r="I57" s="355">
        <f t="shared" si="53"/>
        <v>0</v>
      </c>
      <c r="J57" s="355">
        <f t="shared" si="53"/>
        <v>0</v>
      </c>
      <c r="K57" s="355">
        <f t="shared" ref="K57:L57" si="54">K55+K56</f>
        <v>0</v>
      </c>
      <c r="L57" s="355">
        <f t="shared" si="54"/>
        <v>0</v>
      </c>
      <c r="M57" s="355">
        <f t="shared" ref="M57" si="55">M55+M56</f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56">G58</f>
        <v>0</v>
      </c>
      <c r="I58" s="237">
        <f t="shared" si="56"/>
        <v>0</v>
      </c>
      <c r="J58" s="237">
        <f t="shared" si="56"/>
        <v>0</v>
      </c>
      <c r="K58" s="237">
        <f t="shared" si="56"/>
        <v>0</v>
      </c>
      <c r="L58" s="237">
        <f t="shared" si="56"/>
        <v>0</v>
      </c>
      <c r="M58" s="237">
        <f t="shared" si="56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56"/>
        <v>0</v>
      </c>
      <c r="I59" s="237">
        <f t="shared" si="56"/>
        <v>0</v>
      </c>
      <c r="J59" s="237">
        <f t="shared" si="56"/>
        <v>0</v>
      </c>
      <c r="K59" s="237">
        <f t="shared" si="56"/>
        <v>0</v>
      </c>
      <c r="L59" s="237">
        <f t="shared" si="56"/>
        <v>0</v>
      </c>
      <c r="M59" s="237">
        <f t="shared" si="56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I60" si="57">($E$27*G58)+($E$28*G59)</f>
        <v>0</v>
      </c>
      <c r="H60" s="430">
        <f t="shared" si="57"/>
        <v>0</v>
      </c>
      <c r="I60" s="430">
        <f t="shared" si="57"/>
        <v>0</v>
      </c>
      <c r="J60" s="430">
        <f t="shared" ref="J60:K60" si="58">($E$27*J58)+($E$28*J59)</f>
        <v>0</v>
      </c>
      <c r="K60" s="430">
        <f t="shared" si="58"/>
        <v>0</v>
      </c>
      <c r="L60" s="430">
        <f t="shared" ref="L60:M60" si="59">($E$27*L58)+($E$28*L59)</f>
        <v>0</v>
      </c>
      <c r="M60" s="430">
        <f t="shared" si="59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I61" si="60">ROUND(IF(H64&lt;(H57*0.8),H64,(0.8*H57)),0)</f>
        <v>0</v>
      </c>
      <c r="I61" s="356">
        <f t="shared" si="60"/>
        <v>0</v>
      </c>
      <c r="J61" s="356">
        <f t="shared" ref="J61:K61" si="61">ROUND(IF(J64&lt;(J57*0.8),J64,(0.8*J57)),0)</f>
        <v>0</v>
      </c>
      <c r="K61" s="356">
        <f t="shared" si="61"/>
        <v>0</v>
      </c>
      <c r="L61" s="356">
        <f t="shared" ref="L61:M61" si="62">ROUND(IF(L64&lt;(L57*0.8),L64,(0.8*L57)),0)</f>
        <v>0</v>
      </c>
      <c r="M61" s="356">
        <f t="shared" si="62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63">+G62</f>
        <v>nee</v>
      </c>
      <c r="I62" s="236" t="str">
        <f t="shared" si="63"/>
        <v>nee</v>
      </c>
      <c r="J62" s="236" t="str">
        <f t="shared" si="63"/>
        <v>nee</v>
      </c>
      <c r="K62" s="236" t="str">
        <f t="shared" si="63"/>
        <v>nee</v>
      </c>
      <c r="L62" s="236" t="str">
        <f t="shared" si="63"/>
        <v>nee</v>
      </c>
      <c r="M62" s="236" t="str">
        <f t="shared" si="63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" si="64">SUM(G58:G59)</f>
        <v>0</v>
      </c>
      <c r="H63" s="356">
        <f t="shared" ref="H63:I63" si="65">SUM(H58:H59)</f>
        <v>0</v>
      </c>
      <c r="I63" s="356">
        <f t="shared" si="65"/>
        <v>0</v>
      </c>
      <c r="J63" s="356">
        <f t="shared" ref="J63:K63" si="66">SUM(J58:J59)</f>
        <v>0</v>
      </c>
      <c r="K63" s="356">
        <f t="shared" si="66"/>
        <v>0</v>
      </c>
      <c r="L63" s="356">
        <f t="shared" ref="L63:M63" si="67">SUM(L58:L59)</f>
        <v>0</v>
      </c>
      <c r="M63" s="356">
        <f t="shared" si="67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I67" si="68">G9</f>
        <v>2016</v>
      </c>
      <c r="H67" s="486">
        <f t="shared" si="68"/>
        <v>2017</v>
      </c>
      <c r="I67" s="486">
        <f t="shared" si="68"/>
        <v>2018</v>
      </c>
      <c r="J67" s="486">
        <f t="shared" ref="J67:K67" si="69">J9</f>
        <v>2019</v>
      </c>
      <c r="K67" s="486">
        <f t="shared" si="69"/>
        <v>2020</v>
      </c>
      <c r="L67" s="486">
        <f t="shared" ref="L67:M67" si="70">L9</f>
        <v>2021</v>
      </c>
      <c r="M67" s="486">
        <f t="shared" si="70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9</v>
      </c>
      <c r="H69" s="356">
        <f>ROUND(((tabmat!$O$387*H24)+(tabmat!$O$388*H25)+(IF(tabmat!$O$390-(H26*tabmat!$O$391)&lt;0,0,(tabmat!$O$390-(H26*tabmat!$O$391))))+(tabmat!$O$389*H30)),0)</f>
        <v>9</v>
      </c>
      <c r="I69" s="356">
        <f>ROUND(((tabmat!$O$387*I24)+(tabmat!$O$388*I25)+(IF(tabmat!$O$390-(I26*tabmat!$O$391)&lt;0,0,(tabmat!$O$390-(I26*tabmat!$O$391))))+(tabmat!$O$389*I30)),0)</f>
        <v>9</v>
      </c>
      <c r="J69" s="356">
        <f>ROUND(((tabmat!$O$387*J24)+(tabmat!$O$388*J25)+(IF(tabmat!$O$390-(J26*tabmat!$O$391)&lt;0,0,(tabmat!$O$390-(J26*tabmat!$O$391))))+(tabmat!$O$389*J30)),0)</f>
        <v>9</v>
      </c>
      <c r="K69" s="356">
        <f>ROUND(((tabmat!$O$387*K24)+(tabmat!$O$388*K25)+(IF(tabmat!$O$390-(K26*tabmat!$O$391)&lt;0,0,(tabmat!$O$390-(K26*tabmat!$O$391))))+(tabmat!$O$389*K30)),0)</f>
        <v>9</v>
      </c>
      <c r="L69" s="356">
        <f>ROUND(((tabmat!$O$387*L24)+(tabmat!$O$388*L25)+(IF(tabmat!$O$390-(L26*tabmat!$O$391)&lt;0,0,(tabmat!$O$390-(L26*tabmat!$O$391))))+(tabmat!$O$389*L30)),0)</f>
        <v>9</v>
      </c>
      <c r="M69" s="356">
        <f>ROUND(((tabmat!$O$387*M24)+(tabmat!$O$388*M25)+(IF(tabmat!$O$390-(M26*tabmat!$O$391)&lt;0,0,(tabmat!$O$390-(M26*tabmat!$O$391))))+(tabmat!$O$389*M30)),0)</f>
        <v>9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71">SUM(G71:G72)</f>
        <v>0</v>
      </c>
      <c r="H70" s="356">
        <f t="shared" si="71"/>
        <v>0</v>
      </c>
      <c r="I70" s="356">
        <f t="shared" si="71"/>
        <v>0</v>
      </c>
      <c r="J70" s="356">
        <f t="shared" ref="J70:K70" si="72">SUM(J71:J72)</f>
        <v>0</v>
      </c>
      <c r="K70" s="356">
        <f t="shared" si="72"/>
        <v>0</v>
      </c>
      <c r="L70" s="356">
        <f t="shared" ref="L70:M70" si="73">SUM(L71:L72)</f>
        <v>0</v>
      </c>
      <c r="M70" s="356">
        <f t="shared" si="73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I74" si="74">LOOKUP(G69,groepenleerlingennu,vloeroppervlaknu)</f>
        <v>1190</v>
      </c>
      <c r="H74" s="421">
        <f t="shared" si="74"/>
        <v>1190</v>
      </c>
      <c r="I74" s="421">
        <f t="shared" si="74"/>
        <v>1190</v>
      </c>
      <c r="J74" s="421">
        <f t="shared" ref="J74:K74" si="75">LOOKUP(J69,groepenleerlingennu,vloeroppervlaknu)</f>
        <v>1190</v>
      </c>
      <c r="K74" s="421">
        <f t="shared" si="75"/>
        <v>1190</v>
      </c>
      <c r="L74" s="421">
        <f t="shared" ref="L74:M74" si="76">LOOKUP(L69,groepenleerlingennu,vloeroppervlaknu)</f>
        <v>1190</v>
      </c>
      <c r="M74" s="421">
        <f t="shared" si="76"/>
        <v>1190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77">SUM(G76:G77)</f>
        <v>0</v>
      </c>
      <c r="H75" s="356">
        <f t="shared" ref="H75:I75" si="78">SUM(H76:H77)</f>
        <v>0</v>
      </c>
      <c r="I75" s="356">
        <f t="shared" si="78"/>
        <v>0</v>
      </c>
      <c r="J75" s="356">
        <f t="shared" ref="J75:K75" si="79">SUM(J76:J77)</f>
        <v>0</v>
      </c>
      <c r="K75" s="356">
        <f t="shared" si="79"/>
        <v>0</v>
      </c>
      <c r="L75" s="356">
        <f t="shared" ref="L75:M75" si="80">SUM(L76:L77)</f>
        <v>0</v>
      </c>
      <c r="M75" s="356">
        <f t="shared" si="80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H76" si="81">LOOKUP(G71,groepenleerlingennu,vloeroppervlaknu)</f>
        <v>0</v>
      </c>
      <c r="H76" s="432">
        <f t="shared" si="81"/>
        <v>0</v>
      </c>
      <c r="I76" s="432">
        <f t="shared" ref="I76:J76" si="82">LOOKUP(I71,groepenleerlingennu,vloeroppervlaknu)</f>
        <v>0</v>
      </c>
      <c r="J76" s="432">
        <f t="shared" si="82"/>
        <v>0</v>
      </c>
      <c r="K76" s="432">
        <f t="shared" ref="K76:L76" si="83">LOOKUP(K71,groepenleerlingennu,vloeroppervlaknu)</f>
        <v>0</v>
      </c>
      <c r="L76" s="432">
        <f t="shared" si="83"/>
        <v>0</v>
      </c>
      <c r="M76" s="432">
        <f t="shared" ref="M76" si="84">LOOKUP(M71,groepenleerlingennu,vloeroppervlaknu)</f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ref="G77:H77" si="85">LOOKUP(G72,groepenleerlingennu,vloeroppervlaknu)</f>
        <v>0</v>
      </c>
      <c r="H77" s="432">
        <f t="shared" si="85"/>
        <v>0</v>
      </c>
      <c r="I77" s="432">
        <f t="shared" ref="I77:J77" si="86">LOOKUP(I72,groepenleerlingennu,vloeroppervlaknu)</f>
        <v>0</v>
      </c>
      <c r="J77" s="432">
        <f t="shared" si="86"/>
        <v>0</v>
      </c>
      <c r="K77" s="432">
        <f t="shared" ref="K77:L77" si="87">LOOKUP(K72,groepenleerlingennu,vloeroppervlaknu)</f>
        <v>0</v>
      </c>
      <c r="L77" s="432">
        <f t="shared" si="87"/>
        <v>0</v>
      </c>
      <c r="M77" s="432">
        <f t="shared" ref="M77" si="88">LOOKUP(M72,groepenleerlingennu,vloeroppervlaknu)</f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I79" si="89">IF(G71=0,0,1)+IF(G72=0,0,1)</f>
        <v>0</v>
      </c>
      <c r="H79" s="100">
        <f t="shared" si="89"/>
        <v>0</v>
      </c>
      <c r="I79" s="100">
        <f t="shared" si="89"/>
        <v>0</v>
      </c>
      <c r="J79" s="100">
        <f t="shared" ref="J79:K79" si="90">IF(J71=0,0,1)+IF(J72=0,0,1)</f>
        <v>0</v>
      </c>
      <c r="K79" s="100">
        <f t="shared" si="90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>De Testschool</v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I86" si="91">G8</f>
        <v>2016/17</v>
      </c>
      <c r="H86" s="482" t="str">
        <f t="shared" si="91"/>
        <v>2017/18</v>
      </c>
      <c r="I86" s="482" t="str">
        <f t="shared" si="91"/>
        <v>2018/19</v>
      </c>
      <c r="J86" s="482" t="str">
        <f t="shared" ref="J86:K86" si="92">J8</f>
        <v>2019/20</v>
      </c>
      <c r="K86" s="482" t="str">
        <f t="shared" si="92"/>
        <v>2020/21</v>
      </c>
      <c r="L86" s="482" t="str">
        <f t="shared" ref="L86:M86" si="93">L8</f>
        <v>2021/22</v>
      </c>
      <c r="M86" s="482" t="str">
        <f t="shared" si="93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408565.87200000003</v>
      </c>
      <c r="H92" s="358">
        <f>H24*(tabpers!N$29+tabpers!N$30*H18)</f>
        <v>413381.48499999999</v>
      </c>
      <c r="I92" s="358">
        <f>I24*(tabpers!O$29+tabpers!O$30*I18)</f>
        <v>413381.48499999999</v>
      </c>
      <c r="J92" s="358">
        <f>J24*(tabpers!P$29+tabpers!P$30*J18)</f>
        <v>413381.48499999999</v>
      </c>
      <c r="K92" s="358">
        <f>K24*(tabpers!Q$29+tabpers!Q$30*K18)</f>
        <v>413381.48499999999</v>
      </c>
      <c r="L92" s="358">
        <f>L24*(tabpers!R$29+tabpers!R$30*L18)</f>
        <v>413381.48499999999</v>
      </c>
      <c r="M92" s="358">
        <f>M24*(tabpers!S$29+tabpers!S$30*M18)</f>
        <v>413381.48499999999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284305.71399999998</v>
      </c>
      <c r="H93" s="358">
        <f>H25*(tabpers!N$31+tabpers!N$32*H18)</f>
        <v>287627.065</v>
      </c>
      <c r="I93" s="358">
        <f>I25*(tabpers!O$31+tabpers!O$32*I18)</f>
        <v>287627.065</v>
      </c>
      <c r="J93" s="358">
        <f>J25*(tabpers!P$31+tabpers!P$32*J18)</f>
        <v>287627.065</v>
      </c>
      <c r="K93" s="358">
        <f>K25*(tabpers!Q$31+tabpers!Q$32*K18)</f>
        <v>287627.065</v>
      </c>
      <c r="L93" s="358">
        <f>L25*(tabpers!R$31+tabpers!R$32*L18)</f>
        <v>287627.065</v>
      </c>
      <c r="M93" s="358">
        <f>M25*(tabpers!S$31+tabpers!S$32*M18)</f>
        <v>287627.065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21980.7245</v>
      </c>
      <c r="H94" s="358">
        <f>H30*(tabpers!N$33+tabpers!N$34*H18)</f>
        <v>22239.242900000001</v>
      </c>
      <c r="I94" s="358">
        <f>I30*(tabpers!O$33+tabpers!O$34*I18)</f>
        <v>22239.242900000001</v>
      </c>
      <c r="J94" s="358">
        <f>J30*(tabpers!P$33+tabpers!P$34*J18)</f>
        <v>22239.242900000001</v>
      </c>
      <c r="K94" s="358">
        <f>K30*(tabpers!Q$33+tabpers!Q$34*K18)</f>
        <v>22239.242900000001</v>
      </c>
      <c r="L94" s="358">
        <f>L30*(tabpers!R$33+tabpers!R$34*L18)</f>
        <v>22239.242900000001</v>
      </c>
      <c r="M94" s="358">
        <f>M30*(tabpers!S$33+tabpers!S$34*M18)</f>
        <v>22239.242900000001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36921.259999999995</v>
      </c>
      <c r="H96" s="358">
        <f>IF(H26=0,0,IF(H26&lt;tabpers!N$41,tabpers!N26,tabpers!N27))</f>
        <v>36919.240000000005</v>
      </c>
      <c r="I96" s="358">
        <f>IF(I26=0,0,IF(I26&lt;tabpers!O$41,tabpers!O26,tabpers!O27))</f>
        <v>36919.240000000005</v>
      </c>
      <c r="J96" s="358">
        <f>IF(J26=0,0,IF(J26&lt;tabpers!P$41,tabpers!P26,tabpers!P27))</f>
        <v>36919.240000000005</v>
      </c>
      <c r="K96" s="358">
        <f>IF(K26=0,0,IF(K26&lt;tabpers!Q$41,tabpers!Q26,tabpers!Q27))</f>
        <v>36919.240000000005</v>
      </c>
      <c r="L96" s="358">
        <f>IF(L26=0,0,IF(L26&lt;tabpers!R$41,tabpers!R26,tabpers!R27))</f>
        <v>36919.240000000005</v>
      </c>
      <c r="M96" s="358">
        <f>IF(M26=0,0,IF(M26&lt;tabpers!S$41,tabpers!S26,tabpers!S27))</f>
        <v>36919.240000000005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94">IF(G46=0,0,ROUND(0.75*(SUM(G99:G100)-G97),2))</f>
        <v>0</v>
      </c>
      <c r="H98" s="358">
        <f t="shared" si="94"/>
        <v>0</v>
      </c>
      <c r="I98" s="358">
        <f t="shared" si="94"/>
        <v>0</v>
      </c>
      <c r="J98" s="358">
        <f t="shared" ref="J98:K98" si="95">IF(J46=0,0,ROUND(0.75*(SUM(J99:J100)-J97),2))</f>
        <v>0</v>
      </c>
      <c r="K98" s="358">
        <f t="shared" si="95"/>
        <v>0</v>
      </c>
      <c r="L98" s="358">
        <f t="shared" ref="L98:M98" si="96">IF(L46=0,0,ROUND(0.75*(SUM(L99:L100)-L97),2))</f>
        <v>0</v>
      </c>
      <c r="M98" s="358">
        <f t="shared" si="96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751773.57050000003</v>
      </c>
      <c r="H102" s="422">
        <f>IF(H26=0,0,IF((SUM(H92:H98)+H101)&lt;(tabpers!N$39+tabpers!N$40*H18),(tabpers!N$39+tabpers!N$40*H18),SUM(H92:H98)+H101))</f>
        <v>760167.03289999999</v>
      </c>
      <c r="I102" s="422">
        <f>IF(I26=0,0,IF((SUM(I92:I98)+I101)&lt;(tabpers!O$39+tabpers!O$40*I18),(tabpers!O$39+tabpers!O$40*I18),SUM(I92:I98)+I101))</f>
        <v>760167.03289999999</v>
      </c>
      <c r="J102" s="422">
        <f>IF(J26=0,0,IF((SUM(J92:J98)+J101)&lt;(tabpers!P$39+tabpers!P$40*J18),(tabpers!P$39+tabpers!P$40*J18),SUM(J92:J98)+J101))</f>
        <v>760167.03289999999</v>
      </c>
      <c r="K102" s="422">
        <f>IF(K26=0,0,IF((SUM(K92:K98)+K101)&lt;(tabpers!Q$39+tabpers!Q$40*K18),(tabpers!Q$39+tabpers!Q$40*K18),SUM(K92:K98)+K101))</f>
        <v>760167.03289999999</v>
      </c>
      <c r="L102" s="422">
        <f>IF(L26=0,0,IF((SUM(L92:L98)+L101)&lt;(tabpers!R$39+tabpers!R$40*L18),(tabpers!R$39+tabpers!R$40*L18),SUM(L92:L98)+L101))</f>
        <v>760167.03289999999</v>
      </c>
      <c r="M102" s="422">
        <f>IF(M26=0,0,IF((SUM(M92:M98)+M101)&lt;(tabpers!S$39+tabpers!S$40*M18),(tabpers!S$39+tabpers!S$40*M18),SUM(M92:M98)+M101))</f>
        <v>760167.03289999999</v>
      </c>
      <c r="N102" s="87"/>
      <c r="P102" s="285">
        <f>H102-G102</f>
        <v>8393.4623999999603</v>
      </c>
      <c r="Q102" s="285">
        <f>P102/$H$26</f>
        <v>38.152101818181634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16785.55</v>
      </c>
      <c r="H104" s="358">
        <f>IF(H26=0,0,tabpers!N$52)</f>
        <v>16936.12</v>
      </c>
      <c r="I104" s="358">
        <f>IF(I26=0,0,tabpers!O$52)</f>
        <v>16936.12</v>
      </c>
      <c r="J104" s="358">
        <f>IF(J26=0,0,tabpers!P$52)</f>
        <v>16936.12</v>
      </c>
      <c r="K104" s="358">
        <f>IF(K26=0,0,tabpers!Q$52)</f>
        <v>16936.12</v>
      </c>
      <c r="L104" s="358">
        <f>IF(L26=0,0,tabpers!R$52)</f>
        <v>16936.12</v>
      </c>
      <c r="M104" s="358">
        <f>IF(M26=0,0,tabpers!S$52)</f>
        <v>16936.12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101811.59999999999</v>
      </c>
      <c r="H106" s="433">
        <f>H26*tabpers!N$54</f>
        <v>103991.8</v>
      </c>
      <c r="I106" s="433">
        <f>I26*tabpers!O$54</f>
        <v>103991.8</v>
      </c>
      <c r="J106" s="433">
        <f>J26*tabpers!P$54</f>
        <v>103991.8</v>
      </c>
      <c r="K106" s="433">
        <f>K26*tabpers!Q$54</f>
        <v>103991.8</v>
      </c>
      <c r="L106" s="433">
        <f>L26*tabpers!R$54</f>
        <v>103991.8</v>
      </c>
      <c r="M106" s="433">
        <f>M26*tabpers!S$54</f>
        <v>103991.8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2015.51</v>
      </c>
      <c r="H107" s="433">
        <f>H30*tabpers!N$55</f>
        <v>2033.57</v>
      </c>
      <c r="I107" s="433">
        <f>I30*tabpers!O$55</f>
        <v>2033.57</v>
      </c>
      <c r="J107" s="433">
        <f>J30*tabpers!P$55</f>
        <v>2033.57</v>
      </c>
      <c r="K107" s="433">
        <f>K30*tabpers!Q$55</f>
        <v>2033.57</v>
      </c>
      <c r="L107" s="433">
        <f>L30*tabpers!R$55</f>
        <v>2033.57</v>
      </c>
      <c r="M107" s="433">
        <f>M30*tabpers!S$55</f>
        <v>2033.57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I109" si="97">SUM(G104:G108)</f>
        <v>120612.65999999999</v>
      </c>
      <c r="H109" s="422">
        <f t="shared" si="97"/>
        <v>122961.49</v>
      </c>
      <c r="I109" s="422">
        <f t="shared" si="97"/>
        <v>122961.49</v>
      </c>
      <c r="J109" s="422">
        <f t="shared" ref="J109:K109" si="98">SUM(J104:J108)</f>
        <v>122961.49</v>
      </c>
      <c r="K109" s="422">
        <f t="shared" si="98"/>
        <v>122961.49</v>
      </c>
      <c r="L109" s="422">
        <f t="shared" ref="L109:M109" si="99">SUM(L104:L108)</f>
        <v>122961.49</v>
      </c>
      <c r="M109" s="422">
        <f t="shared" si="99"/>
        <v>122961.49</v>
      </c>
      <c r="N109" s="87"/>
      <c r="P109" s="285">
        <f>H109-G109</f>
        <v>2348.8300000000163</v>
      </c>
      <c r="Q109" s="285">
        <f>P109/$H$26</f>
        <v>10.676500000000074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74422</v>
      </c>
      <c r="H111" s="434">
        <f>IF(H26=0,0,IF(H46=0,(VLOOKUP(H69,tabmat!$H$58:$I$107,2,FALSE)),(VLOOKUP(H71,tabmat!$H$58:$I$107,2,FALSE)+(VLOOKUP(H72,tabmat!$H$58:$I$107,2,FALSE)))))</f>
        <v>74570</v>
      </c>
      <c r="I111" s="434">
        <f>IF(I26=0,0,IF(I46=0,(VLOOKUP(I69,tabmat!$H$4:$I$53,2,FALSE)),(VLOOKUP(I71,tabmat!$H$4:$I$53,2,FALSE)+(VLOOKUP(I72,tabmat!$H$4:$I$53,2,FALSE)))))</f>
        <v>76423</v>
      </c>
      <c r="J111" s="434">
        <f>IF(J26=0,0,IF(J46=0,(VLOOKUP(J69,tabmat!$H$4:$I$53,2,FALSE)),(VLOOKUP(J71,tabmat!$H$4:$I$53,2,FALSE)+(VLOOKUP(J72,tabmat!$H$4:$I$53,2,FALSE)))))</f>
        <v>76423</v>
      </c>
      <c r="K111" s="434">
        <f>IF(K26=0,0,IF(K46=0,(VLOOKUP(K69,tabmat!$H$4:$I$53,2,FALSE)),(VLOOKUP(K71,tabmat!$H$4:$I$53,2,FALSE)+(VLOOKUP(K72,tabmat!$H$4:$I$53,2,FALSE)))))</f>
        <v>76423</v>
      </c>
      <c r="L111" s="434">
        <f>IF(L26=0,0,IF(L46=0,(VLOOKUP(L69,tabmat!$H$4:$I$53,2,FALSE)),(VLOOKUP(L71,tabmat!$H$4:$I$53,2,FALSE)+(VLOOKUP(L72,tabmat!$H$4:$I$53,2,FALSE)))))</f>
        <v>76423</v>
      </c>
      <c r="M111" s="434">
        <f>IF(M26=0,0,IF(M46=0,(VLOOKUP(M69,tabmat!$H$4:$I$53,2,FALSE)),(VLOOKUP(M71,tabmat!$H$4:$I$53,2,FALSE)+(VLOOKUP(M72,tabmat!$H$4:$I$53,2,FALSE)))))</f>
        <v>76423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85488.370259999996</v>
      </c>
      <c r="H112" s="434">
        <f>IF(H$32=0,0,(tabmat!$C87+(tabmat!$D87*H$32)))</f>
        <v>86703.849999999977</v>
      </c>
      <c r="I112" s="434">
        <f>IF(I$32=0,0,(tabmat!$C33+(tabmat!$D33*I$32)))</f>
        <v>88610.170000000013</v>
      </c>
      <c r="J112" s="434">
        <f>IF(J$32=0,0,(tabmat!$C33+(tabmat!$D33*J$32)))</f>
        <v>88610.170000000013</v>
      </c>
      <c r="K112" s="434">
        <f>IF(K$32=0,0,(tabmat!$C33+(tabmat!$D33*K$32)))</f>
        <v>88610.170000000013</v>
      </c>
      <c r="L112" s="434">
        <f>IF(L$32=0,0,(tabmat!$C33+(tabmat!$D33*L$32)))</f>
        <v>88610.170000000013</v>
      </c>
      <c r="M112" s="434">
        <f>IF(M$32=0,0,(tabmat!$C33+(tabmat!$D33*M$32)))</f>
        <v>88610.170000000013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" si="100">G111+G112+G113</f>
        <v>159910.37026</v>
      </c>
      <c r="H114" s="423">
        <f t="shared" ref="H114:I114" si="101">H111+H112+H113</f>
        <v>161273.84999999998</v>
      </c>
      <c r="I114" s="423">
        <f t="shared" si="101"/>
        <v>165033.17000000001</v>
      </c>
      <c r="J114" s="423">
        <f t="shared" ref="J114:K114" si="102">J111+J112+J113</f>
        <v>165033.17000000001</v>
      </c>
      <c r="K114" s="423">
        <f t="shared" si="102"/>
        <v>165033.17000000001</v>
      </c>
      <c r="L114" s="423">
        <f t="shared" ref="L114:M114" si="103">L111+L112+L113</f>
        <v>165033.17000000001</v>
      </c>
      <c r="M114" s="423">
        <f t="shared" si="103"/>
        <v>165033.17000000001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29108.2</v>
      </c>
      <c r="H116" s="302">
        <f>IF(H26=0,0,((H26*tabpers!N68)+tabpers!N69))</f>
        <v>37571.599999999999</v>
      </c>
      <c r="I116" s="302">
        <f>IF(I26=0,0,((I26*tabpers!O68)+tabpers!O69))</f>
        <v>37571.599999999999</v>
      </c>
      <c r="J116" s="302">
        <f>IF(J26=0,0,((J26*tabpers!P68)+tabpers!P69))</f>
        <v>37571.599999999999</v>
      </c>
      <c r="K116" s="302">
        <f>IF(K26=0,0,((K26*tabpers!Q68)+tabpers!Q69))</f>
        <v>37571.599999999999</v>
      </c>
      <c r="L116" s="302">
        <f>IF(L26=0,0,((L26*tabpers!R68)+tabpers!R69))</f>
        <v>37571.599999999999</v>
      </c>
      <c r="M116" s="302">
        <f>IF(M26=0,0,((M26*tabpers!S68)+tabpers!S69))</f>
        <v>37571.599999999999</v>
      </c>
      <c r="N116" s="87"/>
      <c r="P116" s="285">
        <f>H116-G116</f>
        <v>8463.3999999999978</v>
      </c>
      <c r="Q116" s="285">
        <f>P116/$H$26</f>
        <v>38.469999999999992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104">G117</f>
        <v>0</v>
      </c>
      <c r="I117" s="207">
        <f t="shared" si="104"/>
        <v>0</v>
      </c>
      <c r="J117" s="207">
        <f t="shared" si="104"/>
        <v>0</v>
      </c>
      <c r="K117" s="207">
        <f t="shared" si="104"/>
        <v>0</v>
      </c>
      <c r="L117" s="207">
        <f t="shared" si="104"/>
        <v>0</v>
      </c>
      <c r="M117" s="207">
        <f t="shared" si="104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105">G118</f>
        <v>0</v>
      </c>
      <c r="I118" s="207">
        <f t="shared" si="105"/>
        <v>0</v>
      </c>
      <c r="J118" s="207">
        <f t="shared" si="105"/>
        <v>0</v>
      </c>
      <c r="K118" s="207">
        <f t="shared" si="105"/>
        <v>0</v>
      </c>
      <c r="L118" s="207">
        <f t="shared" si="105"/>
        <v>0</v>
      </c>
      <c r="M118" s="207">
        <f t="shared" si="105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105"/>
        <v>0</v>
      </c>
      <c r="I119" s="207">
        <f t="shared" si="105"/>
        <v>0</v>
      </c>
      <c r="J119" s="207">
        <f t="shared" si="105"/>
        <v>0</v>
      </c>
      <c r="K119" s="207">
        <f t="shared" si="105"/>
        <v>0</v>
      </c>
      <c r="L119" s="207">
        <f t="shared" si="105"/>
        <v>0</v>
      </c>
      <c r="M119" s="207">
        <f t="shared" si="105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105"/>
        <v>0</v>
      </c>
      <c r="I120" s="207">
        <f t="shared" si="105"/>
        <v>0</v>
      </c>
      <c r="J120" s="207">
        <f t="shared" si="105"/>
        <v>0</v>
      </c>
      <c r="K120" s="207">
        <f t="shared" si="105"/>
        <v>0</v>
      </c>
      <c r="L120" s="207">
        <f t="shared" si="105"/>
        <v>0</v>
      </c>
      <c r="M120" s="207">
        <f t="shared" si="105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H121" si="106">SUM(G116:G120)</f>
        <v>29108.2</v>
      </c>
      <c r="H121" s="424">
        <f t="shared" si="106"/>
        <v>37571.599999999999</v>
      </c>
      <c r="I121" s="424">
        <f t="shared" ref="I121:J121" si="107">SUM(I116:I120)</f>
        <v>37571.599999999999</v>
      </c>
      <c r="J121" s="424">
        <f t="shared" si="107"/>
        <v>37571.599999999999</v>
      </c>
      <c r="K121" s="424">
        <f t="shared" ref="K121:L121" si="108">SUM(K116:K120)</f>
        <v>37571.599999999999</v>
      </c>
      <c r="L121" s="424">
        <f t="shared" si="108"/>
        <v>37571.599999999999</v>
      </c>
      <c r="M121" s="424">
        <f t="shared" ref="M121" si="109">SUM(M116:M120)</f>
        <v>37571.599999999999</v>
      </c>
      <c r="N121" s="87"/>
      <c r="P121" s="285"/>
      <c r="Q121" s="285">
        <f>Q102+Q109+Q116</f>
        <v>87.298601818181709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110">G124</f>
        <v>0</v>
      </c>
      <c r="I124" s="207">
        <f t="shared" si="110"/>
        <v>0</v>
      </c>
      <c r="J124" s="207">
        <f t="shared" si="110"/>
        <v>0</v>
      </c>
      <c r="K124" s="207">
        <f t="shared" si="110"/>
        <v>0</v>
      </c>
      <c r="L124" s="207">
        <f t="shared" si="110"/>
        <v>0</v>
      </c>
      <c r="M124" s="207">
        <f t="shared" si="110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110"/>
        <v>0</v>
      </c>
      <c r="I125" s="207">
        <f t="shared" si="110"/>
        <v>0</v>
      </c>
      <c r="J125" s="207">
        <f t="shared" si="110"/>
        <v>0</v>
      </c>
      <c r="K125" s="207">
        <f t="shared" si="110"/>
        <v>0</v>
      </c>
      <c r="L125" s="207">
        <f t="shared" si="110"/>
        <v>0</v>
      </c>
      <c r="M125" s="207">
        <f t="shared" si="110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110"/>
        <v>0</v>
      </c>
      <c r="I126" s="207">
        <f t="shared" si="110"/>
        <v>0</v>
      </c>
      <c r="J126" s="207">
        <f t="shared" si="110"/>
        <v>0</v>
      </c>
      <c r="K126" s="207">
        <f t="shared" si="110"/>
        <v>0</v>
      </c>
      <c r="L126" s="207">
        <f t="shared" si="110"/>
        <v>0</v>
      </c>
      <c r="M126" s="207">
        <f t="shared" si="110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110"/>
        <v>0</v>
      </c>
      <c r="I127" s="207">
        <f t="shared" si="110"/>
        <v>0</v>
      </c>
      <c r="J127" s="207">
        <f t="shared" si="110"/>
        <v>0</v>
      </c>
      <c r="K127" s="207">
        <f t="shared" si="110"/>
        <v>0</v>
      </c>
      <c r="L127" s="207">
        <f t="shared" si="110"/>
        <v>0</v>
      </c>
      <c r="M127" s="207">
        <f t="shared" si="110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110"/>
        <v>0</v>
      </c>
      <c r="I128" s="207">
        <f t="shared" si="110"/>
        <v>0</v>
      </c>
      <c r="J128" s="207">
        <f t="shared" si="110"/>
        <v>0</v>
      </c>
      <c r="K128" s="207">
        <f t="shared" si="110"/>
        <v>0</v>
      </c>
      <c r="L128" s="207">
        <f t="shared" si="110"/>
        <v>0</v>
      </c>
      <c r="M128" s="207">
        <f t="shared" si="110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111">SUM(G124:G128)</f>
        <v>0</v>
      </c>
      <c r="H129" s="425">
        <f t="shared" ref="H129:I129" si="112">SUM(H124:H128)</f>
        <v>0</v>
      </c>
      <c r="I129" s="425">
        <f t="shared" si="112"/>
        <v>0</v>
      </c>
      <c r="J129" s="425">
        <f t="shared" ref="J129:K129" si="113">SUM(J124:J128)</f>
        <v>0</v>
      </c>
      <c r="K129" s="425">
        <f t="shared" si="113"/>
        <v>0</v>
      </c>
      <c r="L129" s="425">
        <f t="shared" ref="L129:M129" si="114">SUM(L124:L128)</f>
        <v>0</v>
      </c>
      <c r="M129" s="425">
        <f t="shared" si="114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115">G131</f>
        <v>0</v>
      </c>
      <c r="I131" s="207">
        <f t="shared" si="115"/>
        <v>0</v>
      </c>
      <c r="J131" s="207">
        <f t="shared" si="115"/>
        <v>0</v>
      </c>
      <c r="K131" s="207">
        <f t="shared" si="115"/>
        <v>0</v>
      </c>
      <c r="L131" s="207">
        <f t="shared" si="115"/>
        <v>0</v>
      </c>
      <c r="M131" s="207">
        <f t="shared" si="115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115"/>
        <v>0</v>
      </c>
      <c r="I132" s="207">
        <f t="shared" si="115"/>
        <v>0</v>
      </c>
      <c r="J132" s="207">
        <f t="shared" si="115"/>
        <v>0</v>
      </c>
      <c r="K132" s="207">
        <f t="shared" si="115"/>
        <v>0</v>
      </c>
      <c r="L132" s="207">
        <f t="shared" si="115"/>
        <v>0</v>
      </c>
      <c r="M132" s="207">
        <f t="shared" si="115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115"/>
        <v>0</v>
      </c>
      <c r="I133" s="207">
        <f t="shared" si="115"/>
        <v>0</v>
      </c>
      <c r="J133" s="207">
        <f t="shared" si="115"/>
        <v>0</v>
      </c>
      <c r="K133" s="207">
        <f t="shared" si="115"/>
        <v>0</v>
      </c>
      <c r="L133" s="207">
        <f t="shared" si="115"/>
        <v>0</v>
      </c>
      <c r="M133" s="207">
        <f t="shared" si="115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115"/>
        <v>0</v>
      </c>
      <c r="I134" s="207">
        <f t="shared" si="115"/>
        <v>0</v>
      </c>
      <c r="J134" s="207">
        <f t="shared" si="115"/>
        <v>0</v>
      </c>
      <c r="K134" s="207">
        <f t="shared" si="115"/>
        <v>0</v>
      </c>
      <c r="L134" s="207">
        <f t="shared" si="115"/>
        <v>0</v>
      </c>
      <c r="M134" s="207">
        <f t="shared" si="115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115"/>
        <v>0</v>
      </c>
      <c r="I135" s="207">
        <f t="shared" si="115"/>
        <v>0</v>
      </c>
      <c r="J135" s="207">
        <f t="shared" si="115"/>
        <v>0</v>
      </c>
      <c r="K135" s="207">
        <f t="shared" si="115"/>
        <v>0</v>
      </c>
      <c r="L135" s="207">
        <f t="shared" si="115"/>
        <v>0</v>
      </c>
      <c r="M135" s="207">
        <f t="shared" si="115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" si="116">SUM(G131:G135)</f>
        <v>0</v>
      </c>
      <c r="H136" s="425">
        <f t="shared" ref="H136:I136" si="117">SUM(H131:H135)</f>
        <v>0</v>
      </c>
      <c r="I136" s="425">
        <f t="shared" si="117"/>
        <v>0</v>
      </c>
      <c r="J136" s="425">
        <f t="shared" ref="J136:K136" si="118">SUM(J131:J135)</f>
        <v>0</v>
      </c>
      <c r="K136" s="425">
        <f t="shared" si="118"/>
        <v>0</v>
      </c>
      <c r="L136" s="425">
        <f t="shared" ref="L136:M136" si="119">SUM(L131:L135)</f>
        <v>0</v>
      </c>
      <c r="M136" s="425">
        <f t="shared" si="119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" si="120">G129-G136</f>
        <v>0</v>
      </c>
      <c r="H138" s="422">
        <f t="shared" ref="H138:I138" si="121">H129-H136</f>
        <v>0</v>
      </c>
      <c r="I138" s="422">
        <f t="shared" si="121"/>
        <v>0</v>
      </c>
      <c r="J138" s="422">
        <f t="shared" ref="J138:K138" si="122">J129-J136</f>
        <v>0</v>
      </c>
      <c r="K138" s="422">
        <f t="shared" si="122"/>
        <v>0</v>
      </c>
      <c r="L138" s="422">
        <f t="shared" ref="L138:M138" si="123">L129-L136</f>
        <v>0</v>
      </c>
      <c r="M138" s="422">
        <f t="shared" si="123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I140" si="124">G102+G109+G114+G121-G138</f>
        <v>1061404.80076</v>
      </c>
      <c r="H140" s="426">
        <f t="shared" si="124"/>
        <v>1081973.9728999999</v>
      </c>
      <c r="I140" s="426">
        <f t="shared" si="124"/>
        <v>1085733.2929</v>
      </c>
      <c r="J140" s="426">
        <f t="shared" ref="J140:K140" si="125">J102+J109+J114+J121-J138</f>
        <v>1085733.2929</v>
      </c>
      <c r="K140" s="426">
        <f t="shared" si="125"/>
        <v>1085733.2929</v>
      </c>
      <c r="L140" s="426">
        <f t="shared" ref="L140:M140" si="126">L102+L109+L114+L121-L138</f>
        <v>1085733.2929</v>
      </c>
      <c r="M140" s="426">
        <f t="shared" si="126"/>
        <v>1085733.2929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127">7/12*(G140-G114)+5/12*(H140-H114)+H114</f>
        <v>1070770.6523333334</v>
      </c>
      <c r="I141" s="447">
        <f t="shared" si="127"/>
        <v>1085733.2929</v>
      </c>
      <c r="J141" s="447">
        <f>7/12*(I140-I114)+5/12*(J140-J114)+J114</f>
        <v>1085733.2929</v>
      </c>
      <c r="K141" s="447">
        <f>7/12*(J140-J114)+5/12*(K140-K114)+K114</f>
        <v>1085733.2929</v>
      </c>
      <c r="L141" s="447">
        <f>7/12*(K140-K114)+5/12*(L140-L114)+L114</f>
        <v>1085733.2929</v>
      </c>
      <c r="M141" s="447">
        <f>7/12*(L140-L114)+5/12*(M140-M114)+M114</f>
        <v>1085733.2929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128">G146</f>
        <v>0</v>
      </c>
      <c r="I146" s="207">
        <f t="shared" si="128"/>
        <v>0</v>
      </c>
      <c r="J146" s="207">
        <f t="shared" si="128"/>
        <v>0</v>
      </c>
      <c r="K146" s="207">
        <f t="shared" si="128"/>
        <v>0</v>
      </c>
      <c r="L146" s="207">
        <f t="shared" si="128"/>
        <v>0</v>
      </c>
      <c r="M146" s="207">
        <f t="shared" si="128"/>
        <v>0</v>
      </c>
      <c r="N146" s="87"/>
    </row>
    <row r="147" spans="2:14" x14ac:dyDescent="0.2">
      <c r="B147" s="83"/>
      <c r="C147" s="404"/>
      <c r="D147" s="352"/>
      <c r="E147" s="353"/>
      <c r="F147" s="180"/>
      <c r="G147" s="207">
        <v>0</v>
      </c>
      <c r="H147" s="207">
        <f t="shared" ref="H147:M148" si="129">G147</f>
        <v>0</v>
      </c>
      <c r="I147" s="207">
        <f t="shared" si="129"/>
        <v>0</v>
      </c>
      <c r="J147" s="207">
        <f t="shared" si="129"/>
        <v>0</v>
      </c>
      <c r="K147" s="207">
        <f t="shared" si="129"/>
        <v>0</v>
      </c>
      <c r="L147" s="207">
        <f t="shared" si="129"/>
        <v>0</v>
      </c>
      <c r="M147" s="207">
        <f t="shared" si="129"/>
        <v>0</v>
      </c>
      <c r="N147" s="87"/>
    </row>
    <row r="148" spans="2:14" x14ac:dyDescent="0.2">
      <c r="B148" s="83"/>
      <c r="C148" s="404"/>
      <c r="D148" s="352"/>
      <c r="E148" s="353"/>
      <c r="F148" s="180"/>
      <c r="G148" s="207">
        <v>0</v>
      </c>
      <c r="H148" s="207">
        <f t="shared" si="129"/>
        <v>0</v>
      </c>
      <c r="I148" s="207">
        <f t="shared" si="129"/>
        <v>0</v>
      </c>
      <c r="J148" s="207">
        <f t="shared" si="129"/>
        <v>0</v>
      </c>
      <c r="K148" s="207">
        <f t="shared" si="129"/>
        <v>0</v>
      </c>
      <c r="L148" s="207">
        <f t="shared" si="129"/>
        <v>0</v>
      </c>
      <c r="M148" s="207">
        <f t="shared" si="129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128"/>
        <v>0</v>
      </c>
      <c r="I149" s="207">
        <f t="shared" si="128"/>
        <v>0</v>
      </c>
      <c r="J149" s="207">
        <f t="shared" si="128"/>
        <v>0</v>
      </c>
      <c r="K149" s="207">
        <f t="shared" si="128"/>
        <v>0</v>
      </c>
      <c r="L149" s="207">
        <f t="shared" si="128"/>
        <v>0</v>
      </c>
      <c r="M149" s="207">
        <f t="shared" si="128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128"/>
        <v>0</v>
      </c>
      <c r="I150" s="207">
        <f t="shared" si="128"/>
        <v>0</v>
      </c>
      <c r="J150" s="207">
        <f t="shared" si="128"/>
        <v>0</v>
      </c>
      <c r="K150" s="207">
        <f t="shared" si="128"/>
        <v>0</v>
      </c>
      <c r="L150" s="207">
        <f t="shared" si="128"/>
        <v>0</v>
      </c>
      <c r="M150" s="207">
        <f t="shared" si="128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" si="130">SUM(G146:G150)</f>
        <v>0</v>
      </c>
      <c r="H152" s="427">
        <f t="shared" ref="H152:I152" si="131">SUM(H146:H150)</f>
        <v>0</v>
      </c>
      <c r="I152" s="427">
        <f t="shared" si="131"/>
        <v>0</v>
      </c>
      <c r="J152" s="427">
        <f t="shared" ref="J152:K152" si="132">SUM(J146:J150)</f>
        <v>0</v>
      </c>
      <c r="K152" s="427">
        <f t="shared" si="132"/>
        <v>0</v>
      </c>
      <c r="L152" s="427">
        <f t="shared" ref="L152:M152" si="133">SUM(L146:L150)</f>
        <v>0</v>
      </c>
      <c r="M152" s="427">
        <f t="shared" si="133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134">7/12*G152+5/12*H152</f>
        <v>0</v>
      </c>
      <c r="I153" s="447">
        <f t="shared" si="134"/>
        <v>0</v>
      </c>
      <c r="J153" s="447">
        <f t="shared" si="134"/>
        <v>0</v>
      </c>
      <c r="K153" s="447">
        <f t="shared" si="134"/>
        <v>0</v>
      </c>
      <c r="L153" s="447">
        <f t="shared" si="134"/>
        <v>0</v>
      </c>
      <c r="M153" s="447">
        <f t="shared" si="134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135">G158</f>
        <v>0</v>
      </c>
      <c r="I158" s="207">
        <f t="shared" si="135"/>
        <v>0</v>
      </c>
      <c r="J158" s="207">
        <f t="shared" si="135"/>
        <v>0</v>
      </c>
      <c r="K158" s="207">
        <f t="shared" si="135"/>
        <v>0</v>
      </c>
      <c r="L158" s="207">
        <f t="shared" si="135"/>
        <v>0</v>
      </c>
      <c r="M158" s="207">
        <f t="shared" si="135"/>
        <v>0</v>
      </c>
      <c r="N158" s="87"/>
    </row>
    <row r="159" spans="2:14" x14ac:dyDescent="0.2">
      <c r="B159" s="83"/>
      <c r="C159" s="404"/>
      <c r="D159" s="352"/>
      <c r="E159" s="353"/>
      <c r="F159" s="405"/>
      <c r="G159" s="207">
        <v>0</v>
      </c>
      <c r="H159" s="207">
        <f t="shared" ref="H159:M160" si="136">G159</f>
        <v>0</v>
      </c>
      <c r="I159" s="207">
        <f t="shared" si="136"/>
        <v>0</v>
      </c>
      <c r="J159" s="207">
        <f t="shared" si="136"/>
        <v>0</v>
      </c>
      <c r="K159" s="207">
        <f t="shared" si="136"/>
        <v>0</v>
      </c>
      <c r="L159" s="207">
        <f t="shared" si="136"/>
        <v>0</v>
      </c>
      <c r="M159" s="207">
        <f t="shared" si="136"/>
        <v>0</v>
      </c>
      <c r="N159" s="87"/>
    </row>
    <row r="160" spans="2:14" x14ac:dyDescent="0.2">
      <c r="B160" s="83"/>
      <c r="C160" s="404"/>
      <c r="D160" s="352"/>
      <c r="E160" s="353"/>
      <c r="F160" s="405"/>
      <c r="G160" s="207">
        <v>0</v>
      </c>
      <c r="H160" s="207">
        <f t="shared" si="136"/>
        <v>0</v>
      </c>
      <c r="I160" s="207">
        <f t="shared" si="136"/>
        <v>0</v>
      </c>
      <c r="J160" s="207">
        <f t="shared" si="136"/>
        <v>0</v>
      </c>
      <c r="K160" s="207">
        <f t="shared" si="136"/>
        <v>0</v>
      </c>
      <c r="L160" s="207">
        <f t="shared" si="136"/>
        <v>0</v>
      </c>
      <c r="M160" s="207">
        <f t="shared" si="136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135"/>
        <v>0</v>
      </c>
      <c r="I161" s="207">
        <f t="shared" si="135"/>
        <v>0</v>
      </c>
      <c r="J161" s="207">
        <f t="shared" si="135"/>
        <v>0</v>
      </c>
      <c r="K161" s="207">
        <f t="shared" si="135"/>
        <v>0</v>
      </c>
      <c r="L161" s="207">
        <f t="shared" si="135"/>
        <v>0</v>
      </c>
      <c r="M161" s="207">
        <f t="shared" si="135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135"/>
        <v>0</v>
      </c>
      <c r="I162" s="207">
        <f t="shared" si="135"/>
        <v>0</v>
      </c>
      <c r="J162" s="207">
        <f t="shared" si="135"/>
        <v>0</v>
      </c>
      <c r="K162" s="207">
        <f t="shared" si="135"/>
        <v>0</v>
      </c>
      <c r="L162" s="207">
        <f t="shared" si="135"/>
        <v>0</v>
      </c>
      <c r="M162" s="207">
        <f t="shared" si="135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137">SUM(G158:G162)</f>
        <v>0</v>
      </c>
      <c r="H164" s="427">
        <f t="shared" ref="H164:I164" si="138">SUM(H158:H162)</f>
        <v>0</v>
      </c>
      <c r="I164" s="427">
        <f t="shared" si="138"/>
        <v>0</v>
      </c>
      <c r="J164" s="427">
        <f t="shared" ref="J164:K164" si="139">SUM(J158:J162)</f>
        <v>0</v>
      </c>
      <c r="K164" s="427">
        <f t="shared" si="139"/>
        <v>0</v>
      </c>
      <c r="L164" s="427">
        <f t="shared" ref="L164:M164" si="140">SUM(L158:L162)</f>
        <v>0</v>
      </c>
      <c r="M164" s="427">
        <f t="shared" si="140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141">7/12*G164+5/12*H164</f>
        <v>0</v>
      </c>
      <c r="I165" s="447">
        <f t="shared" si="141"/>
        <v>0</v>
      </c>
      <c r="J165" s="447">
        <f t="shared" si="141"/>
        <v>0</v>
      </c>
      <c r="K165" s="447">
        <f t="shared" si="141"/>
        <v>0</v>
      </c>
      <c r="L165" s="447">
        <f t="shared" si="141"/>
        <v>0</v>
      </c>
      <c r="M165" s="447">
        <f t="shared" si="141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I170" si="142">G86</f>
        <v>2016/17</v>
      </c>
      <c r="H170" s="482" t="str">
        <f t="shared" si="142"/>
        <v>2017/18</v>
      </c>
      <c r="I170" s="482" t="str">
        <f t="shared" si="142"/>
        <v>2018/19</v>
      </c>
      <c r="J170" s="482" t="str">
        <f t="shared" ref="J170:K170" si="143">J86</f>
        <v>2019/20</v>
      </c>
      <c r="K170" s="482" t="str">
        <f t="shared" si="143"/>
        <v>2020/21</v>
      </c>
      <c r="L170" s="482" t="str">
        <f t="shared" ref="L170:M170" si="144">L86</f>
        <v>2021/22</v>
      </c>
      <c r="M170" s="482" t="str">
        <f t="shared" si="144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I171" si="145">G9</f>
        <v>2016</v>
      </c>
      <c r="H171" s="482">
        <f t="shared" si="145"/>
        <v>2017</v>
      </c>
      <c r="I171" s="482">
        <f t="shared" si="145"/>
        <v>2018</v>
      </c>
      <c r="J171" s="482">
        <f t="shared" ref="J171:K171" si="146">J9</f>
        <v>2019</v>
      </c>
      <c r="K171" s="482">
        <f t="shared" si="146"/>
        <v>2020</v>
      </c>
      <c r="L171" s="482">
        <f t="shared" ref="L171:M171" si="147">L9</f>
        <v>2021</v>
      </c>
      <c r="M171" s="482">
        <f t="shared" si="147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148">G177</f>
        <v>0</v>
      </c>
      <c r="I177" s="207">
        <f t="shared" si="148"/>
        <v>0</v>
      </c>
      <c r="J177" s="207">
        <f t="shared" si="148"/>
        <v>0</v>
      </c>
      <c r="K177" s="207">
        <f t="shared" si="148"/>
        <v>0</v>
      </c>
      <c r="L177" s="207">
        <f t="shared" si="148"/>
        <v>0</v>
      </c>
      <c r="M177" s="207">
        <f t="shared" si="148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148"/>
        <v>0</v>
      </c>
      <c r="I178" s="207">
        <f t="shared" si="148"/>
        <v>0</v>
      </c>
      <c r="J178" s="207">
        <f t="shared" si="148"/>
        <v>0</v>
      </c>
      <c r="K178" s="207">
        <f t="shared" si="148"/>
        <v>0</v>
      </c>
      <c r="L178" s="207">
        <f t="shared" si="148"/>
        <v>0</v>
      </c>
      <c r="M178" s="207">
        <f t="shared" si="148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148"/>
        <v>0</v>
      </c>
      <c r="I179" s="207">
        <f t="shared" si="148"/>
        <v>0</v>
      </c>
      <c r="J179" s="207">
        <f t="shared" si="148"/>
        <v>0</v>
      </c>
      <c r="K179" s="207">
        <f t="shared" si="148"/>
        <v>0</v>
      </c>
      <c r="L179" s="207">
        <f t="shared" si="148"/>
        <v>0</v>
      </c>
      <c r="M179" s="207">
        <f t="shared" si="148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149">SUM(G177:G179)</f>
        <v>0</v>
      </c>
      <c r="H180" s="428">
        <f t="shared" ref="H180:I180" si="150">SUM(H177:H179)</f>
        <v>0</v>
      </c>
      <c r="I180" s="428">
        <f t="shared" si="150"/>
        <v>0</v>
      </c>
      <c r="J180" s="428">
        <f t="shared" ref="J180:K180" si="151">SUM(J177:J179)</f>
        <v>0</v>
      </c>
      <c r="K180" s="428">
        <f t="shared" si="151"/>
        <v>0</v>
      </c>
      <c r="L180" s="428">
        <f t="shared" ref="L180:M180" si="152">SUM(L177:L179)</f>
        <v>0</v>
      </c>
      <c r="M180" s="428">
        <f t="shared" si="15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153">G182</f>
        <v>0</v>
      </c>
      <c r="I182" s="207">
        <f t="shared" si="153"/>
        <v>0</v>
      </c>
      <c r="J182" s="207">
        <f t="shared" si="153"/>
        <v>0</v>
      </c>
      <c r="K182" s="207">
        <f t="shared" si="153"/>
        <v>0</v>
      </c>
      <c r="L182" s="207">
        <f t="shared" si="153"/>
        <v>0</v>
      </c>
      <c r="M182" s="207">
        <f t="shared" si="15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153"/>
        <v>0</v>
      </c>
      <c r="I183" s="207">
        <f t="shared" si="153"/>
        <v>0</v>
      </c>
      <c r="J183" s="207">
        <f t="shared" si="153"/>
        <v>0</v>
      </c>
      <c r="K183" s="207">
        <f t="shared" si="153"/>
        <v>0</v>
      </c>
      <c r="L183" s="207">
        <f t="shared" si="153"/>
        <v>0</v>
      </c>
      <c r="M183" s="207">
        <f t="shared" si="15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153"/>
        <v>0</v>
      </c>
      <c r="I184" s="207">
        <f t="shared" si="153"/>
        <v>0</v>
      </c>
      <c r="J184" s="207">
        <f t="shared" si="153"/>
        <v>0</v>
      </c>
      <c r="K184" s="207">
        <f t="shared" si="153"/>
        <v>0</v>
      </c>
      <c r="L184" s="207">
        <f t="shared" si="153"/>
        <v>0</v>
      </c>
      <c r="M184" s="207">
        <f t="shared" si="15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153"/>
        <v>0</v>
      </c>
      <c r="I185" s="207">
        <f t="shared" si="153"/>
        <v>0</v>
      </c>
      <c r="J185" s="207">
        <f t="shared" si="153"/>
        <v>0</v>
      </c>
      <c r="K185" s="207">
        <f t="shared" si="153"/>
        <v>0</v>
      </c>
      <c r="L185" s="207">
        <f t="shared" si="153"/>
        <v>0</v>
      </c>
      <c r="M185" s="207">
        <f t="shared" si="15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153"/>
        <v>0</v>
      </c>
      <c r="I186" s="207">
        <f t="shared" si="153"/>
        <v>0</v>
      </c>
      <c r="J186" s="207">
        <f t="shared" si="153"/>
        <v>0</v>
      </c>
      <c r="K186" s="207">
        <f t="shared" si="153"/>
        <v>0</v>
      </c>
      <c r="L186" s="207">
        <f t="shared" si="153"/>
        <v>0</v>
      </c>
      <c r="M186" s="207">
        <f t="shared" si="15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" si="154">SUM(G182:G186)</f>
        <v>0</v>
      </c>
      <c r="H187" s="428">
        <f t="shared" ref="H187:I187" si="155">SUM(H182:H186)</f>
        <v>0</v>
      </c>
      <c r="I187" s="428">
        <f t="shared" si="155"/>
        <v>0</v>
      </c>
      <c r="J187" s="428">
        <f t="shared" ref="J187:K187" si="156">SUM(J182:J186)</f>
        <v>0</v>
      </c>
      <c r="K187" s="428">
        <f t="shared" si="156"/>
        <v>0</v>
      </c>
      <c r="L187" s="428">
        <f t="shared" ref="L187:M187" si="157">SUM(L182:L186)</f>
        <v>0</v>
      </c>
      <c r="M187" s="428">
        <f t="shared" si="157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" si="158">G180+G187</f>
        <v>0</v>
      </c>
      <c r="H189" s="427">
        <f t="shared" ref="H189:I189" si="159">H180+H187</f>
        <v>0</v>
      </c>
      <c r="I189" s="427">
        <f t="shared" si="159"/>
        <v>0</v>
      </c>
      <c r="J189" s="427">
        <f t="shared" ref="J189:K189" si="160">J180+J187</f>
        <v>0</v>
      </c>
      <c r="K189" s="427">
        <f t="shared" si="160"/>
        <v>0</v>
      </c>
      <c r="L189" s="427">
        <f t="shared" ref="L189:M189" si="161">L180+L187</f>
        <v>0</v>
      </c>
      <c r="M189" s="427">
        <f t="shared" si="161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162">7/12*G189+5/12*H189</f>
        <v>0</v>
      </c>
      <c r="I190" s="265">
        <f t="shared" si="162"/>
        <v>0</v>
      </c>
      <c r="J190" s="265">
        <f t="shared" si="162"/>
        <v>0</v>
      </c>
      <c r="K190" s="265">
        <f t="shared" si="162"/>
        <v>0</v>
      </c>
      <c r="L190" s="265">
        <f t="shared" si="162"/>
        <v>0</v>
      </c>
      <c r="M190" s="265">
        <f t="shared" si="162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163">G195</f>
        <v>0</v>
      </c>
      <c r="I195" s="207">
        <f t="shared" si="163"/>
        <v>0</v>
      </c>
      <c r="J195" s="207">
        <f t="shared" si="163"/>
        <v>0</v>
      </c>
      <c r="K195" s="207">
        <f t="shared" si="163"/>
        <v>0</v>
      </c>
      <c r="L195" s="207">
        <f t="shared" si="163"/>
        <v>0</v>
      </c>
      <c r="M195" s="207">
        <f t="shared" si="163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163"/>
        <v>0</v>
      </c>
      <c r="I196" s="207">
        <f t="shared" si="163"/>
        <v>0</v>
      </c>
      <c r="J196" s="207">
        <f t="shared" si="163"/>
        <v>0</v>
      </c>
      <c r="K196" s="207">
        <f t="shared" si="163"/>
        <v>0</v>
      </c>
      <c r="L196" s="207">
        <f t="shared" si="163"/>
        <v>0</v>
      </c>
      <c r="M196" s="207">
        <f t="shared" si="163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163"/>
        <v>0</v>
      </c>
      <c r="I197" s="207">
        <f t="shared" si="163"/>
        <v>0</v>
      </c>
      <c r="J197" s="207">
        <f t="shared" si="163"/>
        <v>0</v>
      </c>
      <c r="K197" s="207">
        <f t="shared" si="163"/>
        <v>0</v>
      </c>
      <c r="L197" s="207">
        <f t="shared" si="163"/>
        <v>0</v>
      </c>
      <c r="M197" s="207">
        <f t="shared" si="163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163"/>
        <v>0</v>
      </c>
      <c r="I198" s="207">
        <f t="shared" si="163"/>
        <v>0</v>
      </c>
      <c r="J198" s="207">
        <f t="shared" si="163"/>
        <v>0</v>
      </c>
      <c r="K198" s="207">
        <f t="shared" si="163"/>
        <v>0</v>
      </c>
      <c r="L198" s="207">
        <f t="shared" si="163"/>
        <v>0</v>
      </c>
      <c r="M198" s="207">
        <f t="shared" si="163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164">SUM(G195:G198)</f>
        <v>0</v>
      </c>
      <c r="H200" s="429">
        <f t="shared" ref="H200:I200" si="165">SUM(H195:H198)</f>
        <v>0</v>
      </c>
      <c r="I200" s="429">
        <f t="shared" si="165"/>
        <v>0</v>
      </c>
      <c r="J200" s="429">
        <f t="shared" ref="J200:K200" si="166">SUM(J195:J198)</f>
        <v>0</v>
      </c>
      <c r="K200" s="429">
        <f t="shared" si="166"/>
        <v>0</v>
      </c>
      <c r="L200" s="429">
        <f t="shared" ref="L200:M200" si="167">SUM(L195:L198)</f>
        <v>0</v>
      </c>
      <c r="M200" s="429">
        <f t="shared" si="167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168">G206</f>
        <v>0</v>
      </c>
      <c r="I206" s="207">
        <f t="shared" si="168"/>
        <v>0</v>
      </c>
      <c r="J206" s="207">
        <f t="shared" si="168"/>
        <v>0</v>
      </c>
      <c r="K206" s="207">
        <f t="shared" si="168"/>
        <v>0</v>
      </c>
      <c r="L206" s="207">
        <f t="shared" si="168"/>
        <v>0</v>
      </c>
      <c r="M206" s="207">
        <f t="shared" si="168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168"/>
        <v>0</v>
      </c>
      <c r="I207" s="207">
        <f t="shared" si="168"/>
        <v>0</v>
      </c>
      <c r="J207" s="207">
        <f t="shared" si="168"/>
        <v>0</v>
      </c>
      <c r="K207" s="207">
        <f t="shared" si="168"/>
        <v>0</v>
      </c>
      <c r="L207" s="207">
        <f t="shared" si="168"/>
        <v>0</v>
      </c>
      <c r="M207" s="207">
        <f t="shared" si="168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ref="H208:M210" si="169">G208</f>
        <v>0</v>
      </c>
      <c r="I208" s="207">
        <f t="shared" si="169"/>
        <v>0</v>
      </c>
      <c r="J208" s="207">
        <f t="shared" si="169"/>
        <v>0</v>
      </c>
      <c r="K208" s="207">
        <f t="shared" si="169"/>
        <v>0</v>
      </c>
      <c r="L208" s="207">
        <f t="shared" si="169"/>
        <v>0</v>
      </c>
      <c r="M208" s="207">
        <f t="shared" si="169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169"/>
        <v>0</v>
      </c>
      <c r="I209" s="207">
        <f t="shared" si="169"/>
        <v>0</v>
      </c>
      <c r="J209" s="207">
        <f t="shared" si="169"/>
        <v>0</v>
      </c>
      <c r="K209" s="207">
        <f t="shared" si="169"/>
        <v>0</v>
      </c>
      <c r="L209" s="207">
        <f t="shared" si="169"/>
        <v>0</v>
      </c>
      <c r="M209" s="207">
        <f t="shared" si="169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169"/>
        <v>0</v>
      </c>
      <c r="I210" s="207">
        <f t="shared" si="169"/>
        <v>0</v>
      </c>
      <c r="J210" s="207">
        <f t="shared" si="169"/>
        <v>0</v>
      </c>
      <c r="K210" s="207">
        <f t="shared" si="169"/>
        <v>0</v>
      </c>
      <c r="L210" s="207">
        <f t="shared" si="169"/>
        <v>0</v>
      </c>
      <c r="M210" s="207">
        <f t="shared" si="169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ref="H211:M212" si="170">G211</f>
        <v>0</v>
      </c>
      <c r="I211" s="207">
        <f t="shared" si="170"/>
        <v>0</v>
      </c>
      <c r="J211" s="207">
        <f t="shared" si="170"/>
        <v>0</v>
      </c>
      <c r="K211" s="207">
        <f t="shared" si="170"/>
        <v>0</v>
      </c>
      <c r="L211" s="207">
        <f t="shared" si="170"/>
        <v>0</v>
      </c>
      <c r="M211" s="207">
        <f t="shared" si="1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170"/>
        <v>0</v>
      </c>
      <c r="I212" s="207">
        <f t="shared" si="170"/>
        <v>0</v>
      </c>
      <c r="J212" s="207">
        <f t="shared" si="170"/>
        <v>0</v>
      </c>
      <c r="K212" s="207">
        <f t="shared" si="170"/>
        <v>0</v>
      </c>
      <c r="L212" s="207">
        <f t="shared" si="170"/>
        <v>0</v>
      </c>
      <c r="M212" s="207">
        <f t="shared" si="1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168"/>
        <v>0</v>
      </c>
      <c r="I213" s="207">
        <f t="shared" si="168"/>
        <v>0</v>
      </c>
      <c r="J213" s="207">
        <f t="shared" si="168"/>
        <v>0</v>
      </c>
      <c r="K213" s="207">
        <f t="shared" si="168"/>
        <v>0</v>
      </c>
      <c r="L213" s="207">
        <f t="shared" si="168"/>
        <v>0</v>
      </c>
      <c r="M213" s="207">
        <f t="shared" si="168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168"/>
        <v>0</v>
      </c>
      <c r="I214" s="207">
        <f t="shared" si="168"/>
        <v>0</v>
      </c>
      <c r="J214" s="207">
        <f t="shared" si="168"/>
        <v>0</v>
      </c>
      <c r="K214" s="207">
        <f t="shared" si="168"/>
        <v>0</v>
      </c>
      <c r="L214" s="207">
        <f t="shared" si="168"/>
        <v>0</v>
      </c>
      <c r="M214" s="207">
        <f t="shared" si="168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168"/>
        <v>0</v>
      </c>
      <c r="I215" s="207">
        <f t="shared" si="168"/>
        <v>0</v>
      </c>
      <c r="J215" s="207">
        <f t="shared" si="168"/>
        <v>0</v>
      </c>
      <c r="K215" s="207">
        <f t="shared" si="168"/>
        <v>0</v>
      </c>
      <c r="L215" s="207">
        <f t="shared" si="168"/>
        <v>0</v>
      </c>
      <c r="M215" s="207">
        <f t="shared" si="168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" si="171">SUM(G206:G215)</f>
        <v>0</v>
      </c>
      <c r="H217" s="429">
        <f t="shared" ref="H217:I217" si="172">SUM(H206:H215)</f>
        <v>0</v>
      </c>
      <c r="I217" s="429">
        <f t="shared" si="172"/>
        <v>0</v>
      </c>
      <c r="J217" s="429">
        <f t="shared" ref="J217:K217" si="173">SUM(J206:J215)</f>
        <v>0</v>
      </c>
      <c r="K217" s="429">
        <f t="shared" si="173"/>
        <v>0</v>
      </c>
      <c r="L217" s="429">
        <f t="shared" ref="L217:M217" si="174">SUM(L206:L215)</f>
        <v>0</v>
      </c>
      <c r="M217" s="429">
        <f t="shared" si="174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175">G223</f>
        <v>0</v>
      </c>
      <c r="I223" s="207">
        <f t="shared" si="175"/>
        <v>0</v>
      </c>
      <c r="J223" s="207">
        <f t="shared" si="175"/>
        <v>0</v>
      </c>
      <c r="K223" s="207">
        <f t="shared" si="175"/>
        <v>0</v>
      </c>
      <c r="L223" s="207">
        <f t="shared" si="175"/>
        <v>0</v>
      </c>
      <c r="M223" s="207">
        <f t="shared" si="175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ref="H224:M225" si="176">G224</f>
        <v>0</v>
      </c>
      <c r="I224" s="207">
        <f t="shared" si="176"/>
        <v>0</v>
      </c>
      <c r="J224" s="207">
        <f t="shared" si="176"/>
        <v>0</v>
      </c>
      <c r="K224" s="207">
        <f t="shared" si="176"/>
        <v>0</v>
      </c>
      <c r="L224" s="207">
        <f t="shared" si="176"/>
        <v>0</v>
      </c>
      <c r="M224" s="207">
        <f t="shared" si="176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176"/>
        <v>0</v>
      </c>
      <c r="I225" s="207">
        <f t="shared" si="176"/>
        <v>0</v>
      </c>
      <c r="J225" s="207">
        <f t="shared" si="176"/>
        <v>0</v>
      </c>
      <c r="K225" s="207">
        <f t="shared" si="176"/>
        <v>0</v>
      </c>
      <c r="L225" s="207">
        <f t="shared" si="176"/>
        <v>0</v>
      </c>
      <c r="M225" s="207">
        <f t="shared" si="176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175"/>
        <v>0</v>
      </c>
      <c r="I226" s="207">
        <f t="shared" si="175"/>
        <v>0</v>
      </c>
      <c r="J226" s="207">
        <f t="shared" si="175"/>
        <v>0</v>
      </c>
      <c r="K226" s="207">
        <f t="shared" si="175"/>
        <v>0</v>
      </c>
      <c r="L226" s="207">
        <f t="shared" si="175"/>
        <v>0</v>
      </c>
      <c r="M226" s="207">
        <f t="shared" si="175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175"/>
        <v>0</v>
      </c>
      <c r="I227" s="207">
        <f t="shared" si="175"/>
        <v>0</v>
      </c>
      <c r="J227" s="207">
        <f t="shared" si="175"/>
        <v>0</v>
      </c>
      <c r="K227" s="207">
        <f t="shared" si="175"/>
        <v>0</v>
      </c>
      <c r="L227" s="207">
        <f t="shared" si="175"/>
        <v>0</v>
      </c>
      <c r="M227" s="207">
        <f t="shared" si="175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175"/>
        <v>0</v>
      </c>
      <c r="I228" s="207">
        <f t="shared" si="175"/>
        <v>0</v>
      </c>
      <c r="J228" s="207">
        <f t="shared" si="175"/>
        <v>0</v>
      </c>
      <c r="K228" s="207">
        <f t="shared" si="175"/>
        <v>0</v>
      </c>
      <c r="L228" s="207">
        <f t="shared" si="175"/>
        <v>0</v>
      </c>
      <c r="M228" s="207">
        <f t="shared" si="175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177">SUM(G223:G228)</f>
        <v>0</v>
      </c>
      <c r="H230" s="429">
        <f t="shared" ref="H230:I230" si="178">SUM(H223:H228)</f>
        <v>0</v>
      </c>
      <c r="I230" s="429">
        <f t="shared" si="178"/>
        <v>0</v>
      </c>
      <c r="J230" s="429">
        <f t="shared" ref="J230:K230" si="179">SUM(J223:J228)</f>
        <v>0</v>
      </c>
      <c r="K230" s="429">
        <f t="shared" si="179"/>
        <v>0</v>
      </c>
      <c r="L230" s="429">
        <f t="shared" ref="L230:M230" si="180">SUM(L223:L228)</f>
        <v>0</v>
      </c>
      <c r="M230" s="429">
        <f t="shared" si="180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" si="181">G200+G217+G230</f>
        <v>0</v>
      </c>
      <c r="H234" s="427">
        <f t="shared" ref="H234:I234" si="182">H200+H217+H230</f>
        <v>0</v>
      </c>
      <c r="I234" s="427">
        <f t="shared" si="182"/>
        <v>0</v>
      </c>
      <c r="J234" s="427">
        <f t="shared" ref="J234:K234" si="183">J200+J217+J230</f>
        <v>0</v>
      </c>
      <c r="K234" s="427">
        <f t="shared" si="183"/>
        <v>0</v>
      </c>
      <c r="L234" s="427">
        <f t="shared" ref="L234:M234" si="184">L200+L217+L230</f>
        <v>0</v>
      </c>
      <c r="M234" s="427">
        <f t="shared" si="184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>De Testschool</v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I243" si="185">G9</f>
        <v>2016</v>
      </c>
      <c r="H243" s="482">
        <f t="shared" si="185"/>
        <v>2017</v>
      </c>
      <c r="I243" s="482">
        <f t="shared" si="185"/>
        <v>2018</v>
      </c>
      <c r="J243" s="482">
        <f t="shared" ref="J243:K243" si="186">J9</f>
        <v>2019</v>
      </c>
      <c r="K243" s="482">
        <f t="shared" si="186"/>
        <v>2020</v>
      </c>
      <c r="L243" s="482">
        <f t="shared" ref="L243:M243" si="187">L9</f>
        <v>2021</v>
      </c>
      <c r="M243" s="482">
        <f t="shared" si="187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1070770.6523333334</v>
      </c>
      <c r="I249" s="358">
        <f t="shared" ref="I249:J249" si="188">I141</f>
        <v>1085733.2929</v>
      </c>
      <c r="J249" s="358">
        <f t="shared" si="188"/>
        <v>1085733.2929</v>
      </c>
      <c r="K249" s="358">
        <f t="shared" ref="K249:L249" si="189">K141</f>
        <v>1085733.2929</v>
      </c>
      <c r="L249" s="358">
        <f t="shared" si="189"/>
        <v>1085733.2929</v>
      </c>
      <c r="M249" s="358">
        <f t="shared" ref="M249" si="190">M141</f>
        <v>1085733.2929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" si="191">H153</f>
        <v>0</v>
      </c>
      <c r="I250" s="435">
        <f t="shared" ref="I250:J250" si="192">I153</f>
        <v>0</v>
      </c>
      <c r="J250" s="435">
        <f t="shared" si="192"/>
        <v>0</v>
      </c>
      <c r="K250" s="435">
        <f t="shared" ref="K250:L250" si="193">K153</f>
        <v>0</v>
      </c>
      <c r="L250" s="435">
        <f t="shared" si="193"/>
        <v>0</v>
      </c>
      <c r="M250" s="435">
        <f t="shared" ref="M250" si="194">M153</f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" si="195">H165</f>
        <v>0</v>
      </c>
      <c r="I251" s="435">
        <f t="shared" ref="I251:J251" si="196">I165</f>
        <v>0</v>
      </c>
      <c r="J251" s="435">
        <f t="shared" si="196"/>
        <v>0</v>
      </c>
      <c r="K251" s="435">
        <f t="shared" ref="K251:L251" si="197">K165</f>
        <v>0</v>
      </c>
      <c r="L251" s="435">
        <f t="shared" si="197"/>
        <v>0</v>
      </c>
      <c r="M251" s="435">
        <f t="shared" ref="M251" si="198">M165</f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199">SUM(G249:G251)</f>
        <v>0</v>
      </c>
      <c r="H252" s="362">
        <f t="shared" ref="H252:I252" si="200">SUM(H249:H251)</f>
        <v>1070770.6523333334</v>
      </c>
      <c r="I252" s="362">
        <f t="shared" si="200"/>
        <v>1085733.2929</v>
      </c>
      <c r="J252" s="362">
        <f t="shared" ref="J252:K252" si="201">SUM(J249:J251)</f>
        <v>1085733.2929</v>
      </c>
      <c r="K252" s="362">
        <f t="shared" si="201"/>
        <v>1085733.2929</v>
      </c>
      <c r="L252" s="362">
        <f t="shared" ref="L252:M252" si="202">SUM(L249:L251)</f>
        <v>1085733.2929</v>
      </c>
      <c r="M252" s="362">
        <f t="shared" si="202"/>
        <v>1085733.2929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" si="203">H190</f>
        <v>0</v>
      </c>
      <c r="I254" s="358">
        <f t="shared" ref="I254:J254" si="204">I190</f>
        <v>0</v>
      </c>
      <c r="J254" s="358">
        <f t="shared" si="204"/>
        <v>0</v>
      </c>
      <c r="K254" s="358">
        <f t="shared" ref="K254:L254" si="205">K190</f>
        <v>0</v>
      </c>
      <c r="L254" s="358">
        <f t="shared" si="205"/>
        <v>0</v>
      </c>
      <c r="M254" s="358">
        <f t="shared" ref="M254" si="206">M190</f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I255" si="207">H200</f>
        <v>0</v>
      </c>
      <c r="I255" s="358">
        <f t="shared" si="207"/>
        <v>0</v>
      </c>
      <c r="J255" s="358">
        <f t="shared" ref="J255:K255" si="208">J200</f>
        <v>0</v>
      </c>
      <c r="K255" s="358">
        <f t="shared" si="208"/>
        <v>0</v>
      </c>
      <c r="L255" s="358">
        <f t="shared" ref="L255:M255" si="209">L200</f>
        <v>0</v>
      </c>
      <c r="M255" s="358">
        <f t="shared" si="209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I256" si="210">H217</f>
        <v>0</v>
      </c>
      <c r="I256" s="358">
        <f t="shared" si="210"/>
        <v>0</v>
      </c>
      <c r="J256" s="358">
        <f t="shared" ref="J256:K256" si="211">J217</f>
        <v>0</v>
      </c>
      <c r="K256" s="358">
        <f t="shared" si="211"/>
        <v>0</v>
      </c>
      <c r="L256" s="358">
        <f t="shared" ref="L256:M256" si="212">L217</f>
        <v>0</v>
      </c>
      <c r="M256" s="358">
        <f t="shared" si="212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I257" si="213">H230</f>
        <v>0</v>
      </c>
      <c r="I257" s="358">
        <f t="shared" si="213"/>
        <v>0</v>
      </c>
      <c r="J257" s="358">
        <f t="shared" ref="J257:K257" si="214">J230</f>
        <v>0</v>
      </c>
      <c r="K257" s="358">
        <f t="shared" si="214"/>
        <v>0</v>
      </c>
      <c r="L257" s="358">
        <f t="shared" ref="L257:M257" si="215">L230</f>
        <v>0</v>
      </c>
      <c r="M257" s="358">
        <f t="shared" si="21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216">SUM(G254:G257)</f>
        <v>0</v>
      </c>
      <c r="H258" s="362">
        <f t="shared" ref="H258:I258" si="217">SUM(H254:H257)</f>
        <v>0</v>
      </c>
      <c r="I258" s="362">
        <f t="shared" si="217"/>
        <v>0</v>
      </c>
      <c r="J258" s="362">
        <f t="shared" ref="J258:K258" si="218">SUM(J254:J257)</f>
        <v>0</v>
      </c>
      <c r="K258" s="362">
        <f t="shared" si="218"/>
        <v>0</v>
      </c>
      <c r="L258" s="362">
        <f t="shared" ref="L258:M258" si="219">SUM(L254:L257)</f>
        <v>0</v>
      </c>
      <c r="M258" s="362">
        <f t="shared" si="219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" si="220">G252-G258</f>
        <v>0</v>
      </c>
      <c r="H260" s="362">
        <f t="shared" ref="H260:I260" si="221">H252-H258</f>
        <v>1070770.6523333334</v>
      </c>
      <c r="I260" s="362">
        <f t="shared" si="221"/>
        <v>1085733.2929</v>
      </c>
      <c r="J260" s="362">
        <f t="shared" ref="J260:K260" si="222">J252-J258</f>
        <v>1085733.2929</v>
      </c>
      <c r="K260" s="362">
        <f t="shared" si="222"/>
        <v>1085733.2929</v>
      </c>
      <c r="L260" s="362">
        <f t="shared" ref="L260:M260" si="223">L252-L258</f>
        <v>1085733.2929</v>
      </c>
      <c r="M260" s="362">
        <f t="shared" si="223"/>
        <v>1085733.2929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224">G266</f>
        <v>0</v>
      </c>
      <c r="I266" s="302">
        <f t="shared" si="224"/>
        <v>0</v>
      </c>
      <c r="J266" s="302">
        <f t="shared" si="224"/>
        <v>0</v>
      </c>
      <c r="K266" s="302">
        <f t="shared" si="224"/>
        <v>0</v>
      </c>
      <c r="L266" s="302">
        <f t="shared" si="224"/>
        <v>0</v>
      </c>
      <c r="M266" s="302">
        <f t="shared" si="224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224"/>
        <v>0</v>
      </c>
      <c r="I267" s="302">
        <f t="shared" si="224"/>
        <v>0</v>
      </c>
      <c r="J267" s="302">
        <f t="shared" si="224"/>
        <v>0</v>
      </c>
      <c r="K267" s="302">
        <f t="shared" si="224"/>
        <v>0</v>
      </c>
      <c r="L267" s="302">
        <f t="shared" si="224"/>
        <v>0</v>
      </c>
      <c r="M267" s="302">
        <f t="shared" si="224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I269" si="225">G266-G267</f>
        <v>0</v>
      </c>
      <c r="H269" s="362">
        <f t="shared" si="225"/>
        <v>0</v>
      </c>
      <c r="I269" s="362">
        <f t="shared" si="225"/>
        <v>0</v>
      </c>
      <c r="J269" s="362">
        <f t="shared" ref="J269:K269" si="226">J266-J267</f>
        <v>0</v>
      </c>
      <c r="K269" s="362">
        <f t="shared" si="226"/>
        <v>0</v>
      </c>
      <c r="L269" s="362">
        <f t="shared" ref="L269:M269" si="227">L266-L267</f>
        <v>0</v>
      </c>
      <c r="M269" s="362">
        <f t="shared" si="227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I273" si="228">G260+G269</f>
        <v>0</v>
      </c>
      <c r="H273" s="362">
        <f t="shared" si="228"/>
        <v>1070770.6523333334</v>
      </c>
      <c r="I273" s="362">
        <f t="shared" si="228"/>
        <v>1085733.2929</v>
      </c>
      <c r="J273" s="362">
        <f t="shared" ref="J273:K273" si="229">J260+J269</f>
        <v>1085733.2929</v>
      </c>
      <c r="K273" s="362">
        <f t="shared" si="229"/>
        <v>1085733.2929</v>
      </c>
      <c r="L273" s="362">
        <f t="shared" ref="L273:M273" si="230">L260+L269</f>
        <v>1085733.2929</v>
      </c>
      <c r="M273" s="362">
        <f t="shared" si="230"/>
        <v>1085733.2929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I274" si="231">G273/(G252+G266)</f>
        <v>#DIV/0!</v>
      </c>
      <c r="H274" s="480">
        <f t="shared" si="231"/>
        <v>1</v>
      </c>
      <c r="I274" s="480">
        <f t="shared" si="231"/>
        <v>1</v>
      </c>
      <c r="J274" s="480">
        <f t="shared" ref="J274:K274" si="232">J273/(J252+J266)</f>
        <v>1</v>
      </c>
      <c r="K274" s="480">
        <f t="shared" si="232"/>
        <v>1</v>
      </c>
      <c r="L274" s="480">
        <f t="shared" ref="L274:M274" si="233">L273/(L252+L266)</f>
        <v>1</v>
      </c>
      <c r="M274" s="480">
        <f t="shared" si="233"/>
        <v>1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183:E183"/>
    <mergeCell ref="D184:E184"/>
    <mergeCell ref="D185:E185"/>
    <mergeCell ref="D186:E186"/>
    <mergeCell ref="D146:E146"/>
    <mergeCell ref="D149:E149"/>
    <mergeCell ref="D150:E150"/>
    <mergeCell ref="D158:E158"/>
    <mergeCell ref="D161:E161"/>
    <mergeCell ref="D162:E162"/>
    <mergeCell ref="D182:E182"/>
    <mergeCell ref="D196:E196"/>
    <mergeCell ref="D195:E195"/>
    <mergeCell ref="D215:E215"/>
    <mergeCell ref="D197:E197"/>
    <mergeCell ref="D198:E198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19:E119"/>
    <mergeCell ref="D120:E120"/>
    <mergeCell ref="D118:E118"/>
    <mergeCell ref="D131:E131"/>
    <mergeCell ref="D132:E132"/>
  </mergeCells>
  <phoneticPr fontId="0" type="noConversion"/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7"/>
  <dimension ref="B1:Q288"/>
  <sheetViews>
    <sheetView showGridLines="0" zoomScale="85" zoomScaleNormal="85" zoomScaleSheetLayoutView="85" workbookViewId="0">
      <pane ySplit="11" topLeftCell="A12" activePane="bottomLeft" state="frozen"/>
      <selection activeCell="M113" sqref="M113"/>
      <selection pane="bottomLeft" activeCell="B2" sqref="B2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183:E183"/>
    <mergeCell ref="D184:E184"/>
    <mergeCell ref="D185:E185"/>
    <mergeCell ref="D186:E186"/>
    <mergeCell ref="D146:E146"/>
    <mergeCell ref="D149:E149"/>
    <mergeCell ref="D150:E150"/>
    <mergeCell ref="D158:E158"/>
    <mergeCell ref="D161:E161"/>
    <mergeCell ref="D162:E162"/>
    <mergeCell ref="D182:E182"/>
    <mergeCell ref="D196:E196"/>
    <mergeCell ref="D195:E195"/>
    <mergeCell ref="D215:E215"/>
    <mergeCell ref="D197:E197"/>
    <mergeCell ref="D198:E198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19:E119"/>
    <mergeCell ref="D120:E120"/>
    <mergeCell ref="D118:E118"/>
    <mergeCell ref="D131:E131"/>
    <mergeCell ref="D132:E132"/>
  </mergeCells>
  <phoneticPr fontId="0" type="noConversion"/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8"/>
  <dimension ref="B1:Q288"/>
  <sheetViews>
    <sheetView showGridLines="0" zoomScale="85" zoomScaleNormal="85" zoomScaleSheetLayoutView="85" workbookViewId="0">
      <pane ySplit="11" topLeftCell="A12" activePane="bottomLeft" state="frozen"/>
      <selection activeCell="M113" sqref="M113"/>
      <selection pane="bottomLeft" activeCell="B2" sqref="B2"/>
    </sheetView>
  </sheetViews>
  <sheetFormatPr defaultColWidth="9.140625" defaultRowHeight="12.75" x14ac:dyDescent="0.2"/>
  <cols>
    <col min="1" max="1" width="3.7109375" style="67" customWidth="1"/>
    <col min="2" max="3" width="2.7109375" style="67" customWidth="1"/>
    <col min="4" max="4" width="21.28515625" style="67" customWidth="1"/>
    <col min="5" max="5" width="25.7109375" style="67" customWidth="1"/>
    <col min="6" max="6" width="2.7109375" style="67" customWidth="1"/>
    <col min="7" max="13" width="13.7109375" style="67" customWidth="1"/>
    <col min="14" max="14" width="2.7109375" style="67" customWidth="1"/>
    <col min="15" max="15" width="14.7109375" style="67" customWidth="1"/>
    <col min="16" max="16" width="12.140625" style="67" customWidth="1"/>
    <col min="17" max="27" width="9.140625" style="67"/>
    <col min="28" max="28" width="9.140625" style="67" customWidth="1"/>
    <col min="29" max="16384" width="9.140625" style="67"/>
  </cols>
  <sheetData>
    <row r="1" spans="2:14" ht="12.75" customHeight="1" x14ac:dyDescent="0.2"/>
    <row r="2" spans="2:14" ht="12" customHeight="1" x14ac:dyDescent="0.2">
      <c r="B2" s="78"/>
      <c r="C2" s="79"/>
      <c r="D2" s="80"/>
      <c r="E2" s="80"/>
      <c r="F2" s="80"/>
      <c r="G2" s="81"/>
      <c r="H2" s="81"/>
      <c r="I2" s="81"/>
      <c r="J2" s="81"/>
      <c r="K2" s="81"/>
      <c r="L2" s="81"/>
      <c r="M2" s="81"/>
      <c r="N2" s="82"/>
    </row>
    <row r="3" spans="2:14" x14ac:dyDescent="0.2">
      <c r="B3" s="83"/>
      <c r="C3" s="84"/>
      <c r="D3" s="85"/>
      <c r="E3" s="85"/>
      <c r="F3" s="85"/>
      <c r="G3" s="86"/>
      <c r="H3" s="86"/>
      <c r="I3" s="86"/>
      <c r="J3" s="86"/>
      <c r="K3" s="86"/>
      <c r="L3" s="86"/>
      <c r="M3" s="86"/>
      <c r="N3" s="87"/>
    </row>
    <row r="4" spans="2:14" s="394" customFormat="1" ht="18.75" x14ac:dyDescent="0.3">
      <c r="B4" s="391"/>
      <c r="C4" s="121" t="s">
        <v>1</v>
      </c>
      <c r="D4" s="105"/>
      <c r="E4" s="105"/>
      <c r="F4" s="105"/>
      <c r="G4" s="392"/>
      <c r="H4" s="392"/>
      <c r="I4" s="392"/>
      <c r="J4" s="392"/>
      <c r="K4" s="392"/>
      <c r="L4" s="392"/>
      <c r="M4" s="392"/>
      <c r="N4" s="393"/>
    </row>
    <row r="5" spans="2:14" s="398" customFormat="1" ht="15.75" x14ac:dyDescent="0.25">
      <c r="B5" s="395"/>
      <c r="C5" s="490" t="str">
        <f>IF(G13="","",G13)</f>
        <v/>
      </c>
      <c r="D5" s="303"/>
      <c r="E5" s="303"/>
      <c r="F5" s="303"/>
      <c r="G5" s="396"/>
      <c r="H5" s="396"/>
      <c r="I5" s="396"/>
      <c r="J5" s="396"/>
      <c r="K5" s="396"/>
      <c r="L5" s="396"/>
      <c r="M5" s="396"/>
      <c r="N5" s="397"/>
    </row>
    <row r="6" spans="2:14" x14ac:dyDescent="0.2">
      <c r="B6" s="83"/>
      <c r="C6" s="84"/>
      <c r="D6" s="84"/>
      <c r="E6" s="84"/>
      <c r="F6" s="84"/>
      <c r="G6" s="359"/>
      <c r="H6" s="359"/>
      <c r="I6" s="359"/>
      <c r="J6" s="359"/>
      <c r="K6" s="359"/>
      <c r="L6" s="359"/>
      <c r="M6" s="359"/>
      <c r="N6" s="87"/>
    </row>
    <row r="7" spans="2:14" x14ac:dyDescent="0.2">
      <c r="B7" s="83"/>
      <c r="C7" s="84"/>
      <c r="D7" s="84"/>
      <c r="E7" s="84"/>
      <c r="F7" s="84"/>
      <c r="G7" s="359"/>
      <c r="H7" s="359"/>
      <c r="I7" s="359"/>
      <c r="J7" s="359"/>
      <c r="K7" s="359"/>
      <c r="L7" s="359"/>
      <c r="M7" s="359"/>
      <c r="N7" s="87"/>
    </row>
    <row r="8" spans="2:14" x14ac:dyDescent="0.2">
      <c r="B8" s="83"/>
      <c r="C8" s="84"/>
      <c r="D8" s="85"/>
      <c r="E8" s="481" t="s">
        <v>32</v>
      </c>
      <c r="F8" s="481"/>
      <c r="G8" s="482" t="str">
        <f>tabpers!M2</f>
        <v>2016/17</v>
      </c>
      <c r="H8" s="482" t="str">
        <f>tabpers!N2</f>
        <v>2017/18</v>
      </c>
      <c r="I8" s="482" t="str">
        <f>tabpers!O2</f>
        <v>2018/19</v>
      </c>
      <c r="J8" s="482" t="str">
        <f>tabpers!P2</f>
        <v>2019/20</v>
      </c>
      <c r="K8" s="482" t="str">
        <f>tabpers!Q2</f>
        <v>2020/21</v>
      </c>
      <c r="L8" s="482" t="str">
        <f>tabpers!R2</f>
        <v>2021/22</v>
      </c>
      <c r="M8" s="482" t="str">
        <f>tabpers!S2</f>
        <v>2023/23</v>
      </c>
      <c r="N8" s="87"/>
    </row>
    <row r="9" spans="2:14" x14ac:dyDescent="0.2">
      <c r="B9" s="83"/>
      <c r="C9" s="84"/>
      <c r="D9" s="85"/>
      <c r="E9" s="481" t="s">
        <v>71</v>
      </c>
      <c r="F9" s="481"/>
      <c r="G9" s="482">
        <f>tabpers!M4</f>
        <v>2016</v>
      </c>
      <c r="H9" s="482">
        <f>tabpers!N4</f>
        <v>2017</v>
      </c>
      <c r="I9" s="482">
        <f>tabpers!O4</f>
        <v>2018</v>
      </c>
      <c r="J9" s="482">
        <f>tabpers!P4</f>
        <v>2019</v>
      </c>
      <c r="K9" s="482">
        <f>tabpers!Q4</f>
        <v>2020</v>
      </c>
      <c r="L9" s="482">
        <f>tabpers!R4</f>
        <v>2021</v>
      </c>
      <c r="M9" s="482">
        <f>tabpers!S4</f>
        <v>2022</v>
      </c>
      <c r="N9" s="87"/>
    </row>
    <row r="10" spans="2:14" x14ac:dyDescent="0.2">
      <c r="B10" s="83"/>
      <c r="C10" s="84"/>
      <c r="D10" s="85"/>
      <c r="E10" s="481" t="s">
        <v>37</v>
      </c>
      <c r="F10" s="481"/>
      <c r="G10" s="482">
        <f t="shared" ref="G10:M10" si="0">G9-1</f>
        <v>2015</v>
      </c>
      <c r="H10" s="482">
        <f t="shared" si="0"/>
        <v>2016</v>
      </c>
      <c r="I10" s="482">
        <f t="shared" si="0"/>
        <v>2017</v>
      </c>
      <c r="J10" s="482">
        <f t="shared" si="0"/>
        <v>2018</v>
      </c>
      <c r="K10" s="482">
        <f t="shared" si="0"/>
        <v>2019</v>
      </c>
      <c r="L10" s="482">
        <f t="shared" si="0"/>
        <v>2020</v>
      </c>
      <c r="M10" s="482">
        <f t="shared" si="0"/>
        <v>2021</v>
      </c>
      <c r="N10" s="87"/>
    </row>
    <row r="11" spans="2:14" x14ac:dyDescent="0.2">
      <c r="B11" s="83"/>
      <c r="C11" s="84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7"/>
    </row>
    <row r="12" spans="2:14" x14ac:dyDescent="0.2">
      <c r="B12" s="83"/>
      <c r="C12" s="126"/>
      <c r="D12" s="127"/>
      <c r="E12" s="127"/>
      <c r="F12" s="127"/>
      <c r="G12" s="129"/>
      <c r="H12" s="129"/>
      <c r="I12" s="129"/>
      <c r="J12" s="129"/>
      <c r="K12" s="129"/>
      <c r="L12" s="129"/>
      <c r="M12" s="129"/>
      <c r="N12" s="87"/>
    </row>
    <row r="13" spans="2:14" x14ac:dyDescent="0.2">
      <c r="B13" s="83"/>
      <c r="C13" s="130"/>
      <c r="D13" s="131" t="s">
        <v>97</v>
      </c>
      <c r="E13" s="131"/>
      <c r="F13" s="132"/>
      <c r="G13" s="465"/>
      <c r="H13" s="140"/>
      <c r="I13" s="140"/>
      <c r="J13" s="140"/>
      <c r="K13" s="140"/>
      <c r="L13" s="140"/>
      <c r="M13" s="140"/>
      <c r="N13" s="87"/>
    </row>
    <row r="14" spans="2:14" x14ac:dyDescent="0.2">
      <c r="B14" s="83"/>
      <c r="C14" s="130"/>
      <c r="D14" s="131" t="s">
        <v>98</v>
      </c>
      <c r="E14" s="131"/>
      <c r="F14" s="132"/>
      <c r="G14" s="732"/>
      <c r="H14" s="140"/>
      <c r="I14" s="140"/>
      <c r="J14" s="140"/>
      <c r="K14" s="140"/>
      <c r="L14" s="140"/>
      <c r="M14" s="140"/>
      <c r="N14" s="87"/>
    </row>
    <row r="15" spans="2:14" x14ac:dyDescent="0.2">
      <c r="B15" s="83"/>
      <c r="C15" s="155"/>
      <c r="D15" s="184"/>
      <c r="E15" s="184"/>
      <c r="F15" s="184"/>
      <c r="G15" s="221"/>
      <c r="H15" s="221"/>
      <c r="I15" s="221"/>
      <c r="J15" s="221"/>
      <c r="K15" s="221"/>
      <c r="L15" s="221"/>
      <c r="M15" s="221"/>
      <c r="N15" s="87"/>
    </row>
    <row r="16" spans="2:14" x14ac:dyDescent="0.2">
      <c r="B16" s="83"/>
      <c r="C16" s="84"/>
      <c r="D16" s="85"/>
      <c r="E16" s="85"/>
      <c r="F16" s="85"/>
      <c r="G16" s="86"/>
      <c r="H16" s="86"/>
      <c r="I16" s="86"/>
      <c r="J16" s="86"/>
      <c r="K16" s="86"/>
      <c r="L16" s="86"/>
      <c r="M16" s="86"/>
      <c r="N16" s="87"/>
    </row>
    <row r="17" spans="2:14" x14ac:dyDescent="0.2">
      <c r="B17" s="83"/>
      <c r="C17" s="126"/>
      <c r="D17" s="127"/>
      <c r="E17" s="127"/>
      <c r="F17" s="127"/>
      <c r="G17" s="228"/>
      <c r="H17" s="228"/>
      <c r="I17" s="228"/>
      <c r="J17" s="228"/>
      <c r="K17" s="228"/>
      <c r="L17" s="228"/>
      <c r="M17" s="228"/>
      <c r="N17" s="87"/>
    </row>
    <row r="18" spans="2:14" x14ac:dyDescent="0.2">
      <c r="B18" s="83"/>
      <c r="C18" s="130"/>
      <c r="D18" s="483" t="s">
        <v>89</v>
      </c>
      <c r="E18" s="399"/>
      <c r="F18" s="137"/>
      <c r="G18" s="227">
        <v>0</v>
      </c>
      <c r="H18" s="227">
        <f t="shared" ref="H18:M18" si="1">G18</f>
        <v>0</v>
      </c>
      <c r="I18" s="227">
        <f t="shared" si="1"/>
        <v>0</v>
      </c>
      <c r="J18" s="227">
        <f t="shared" si="1"/>
        <v>0</v>
      </c>
      <c r="K18" s="227">
        <f t="shared" si="1"/>
        <v>0</v>
      </c>
      <c r="L18" s="227">
        <f t="shared" si="1"/>
        <v>0</v>
      </c>
      <c r="M18" s="227">
        <f t="shared" si="1"/>
        <v>0</v>
      </c>
      <c r="N18" s="87"/>
    </row>
    <row r="19" spans="2:14" x14ac:dyDescent="0.2">
      <c r="B19" s="83"/>
      <c r="C19" s="130"/>
      <c r="D19" s="137"/>
      <c r="E19" s="137"/>
      <c r="F19" s="137"/>
      <c r="G19" s="138"/>
      <c r="H19" s="138"/>
      <c r="I19" s="138"/>
      <c r="J19" s="138"/>
      <c r="K19" s="138"/>
      <c r="L19" s="138"/>
      <c r="M19" s="138"/>
      <c r="N19" s="87"/>
    </row>
    <row r="20" spans="2:14" x14ac:dyDescent="0.2">
      <c r="B20" s="83"/>
      <c r="C20" s="84"/>
      <c r="D20" s="84"/>
      <c r="E20" s="84"/>
      <c r="F20" s="84"/>
      <c r="G20" s="86"/>
      <c r="H20" s="86"/>
      <c r="I20" s="86"/>
      <c r="J20" s="86"/>
      <c r="K20" s="86"/>
      <c r="L20" s="86"/>
      <c r="M20" s="86"/>
      <c r="N20" s="87"/>
    </row>
    <row r="21" spans="2:14" x14ac:dyDescent="0.2">
      <c r="B21" s="83"/>
      <c r="C21" s="126"/>
      <c r="D21" s="127"/>
      <c r="E21" s="127"/>
      <c r="F21" s="127"/>
      <c r="G21" s="129"/>
      <c r="H21" s="129"/>
      <c r="I21" s="129"/>
      <c r="J21" s="129"/>
      <c r="K21" s="129"/>
      <c r="L21" s="129"/>
      <c r="M21" s="129"/>
      <c r="N21" s="87"/>
    </row>
    <row r="22" spans="2:14" x14ac:dyDescent="0.2">
      <c r="B22" s="83"/>
      <c r="C22" s="130"/>
      <c r="D22" s="484" t="s">
        <v>96</v>
      </c>
      <c r="E22" s="148"/>
      <c r="F22" s="132"/>
      <c r="G22" s="134"/>
      <c r="H22" s="134"/>
      <c r="I22" s="134"/>
      <c r="J22" s="134"/>
      <c r="K22" s="134"/>
      <c r="L22" s="134"/>
      <c r="M22" s="134"/>
      <c r="N22" s="87"/>
    </row>
    <row r="23" spans="2:14" x14ac:dyDescent="0.2">
      <c r="B23" s="83"/>
      <c r="C23" s="130"/>
      <c r="D23" s="132"/>
      <c r="E23" s="132"/>
      <c r="F23" s="132"/>
      <c r="G23" s="134"/>
      <c r="H23" s="134"/>
      <c r="I23" s="134"/>
      <c r="J23" s="134"/>
      <c r="K23" s="134"/>
      <c r="L23" s="134"/>
      <c r="M23" s="134"/>
      <c r="N23" s="87"/>
    </row>
    <row r="24" spans="2:14" x14ac:dyDescent="0.2">
      <c r="B24" s="83"/>
      <c r="C24" s="130"/>
      <c r="D24" s="131" t="s">
        <v>4</v>
      </c>
      <c r="E24" s="131"/>
      <c r="F24" s="131"/>
      <c r="G24" s="237">
        <v>0</v>
      </c>
      <c r="H24" s="237">
        <f t="shared" ref="H24:M25" si="2">G24</f>
        <v>0</v>
      </c>
      <c r="I24" s="237">
        <f t="shared" si="2"/>
        <v>0</v>
      </c>
      <c r="J24" s="237">
        <f t="shared" si="2"/>
        <v>0</v>
      </c>
      <c r="K24" s="237">
        <f t="shared" si="2"/>
        <v>0</v>
      </c>
      <c r="L24" s="237">
        <f t="shared" si="2"/>
        <v>0</v>
      </c>
      <c r="M24" s="237">
        <f t="shared" si="2"/>
        <v>0</v>
      </c>
      <c r="N24" s="87"/>
    </row>
    <row r="25" spans="2:14" x14ac:dyDescent="0.2">
      <c r="B25" s="83"/>
      <c r="C25" s="130"/>
      <c r="D25" s="131" t="s">
        <v>5</v>
      </c>
      <c r="E25" s="131"/>
      <c r="F25" s="131"/>
      <c r="G25" s="237">
        <v>0</v>
      </c>
      <c r="H25" s="237">
        <f t="shared" si="2"/>
        <v>0</v>
      </c>
      <c r="I25" s="237">
        <f t="shared" si="2"/>
        <v>0</v>
      </c>
      <c r="J25" s="237">
        <f t="shared" si="2"/>
        <v>0</v>
      </c>
      <c r="K25" s="237">
        <f t="shared" si="2"/>
        <v>0</v>
      </c>
      <c r="L25" s="237">
        <f t="shared" si="2"/>
        <v>0</v>
      </c>
      <c r="M25" s="237">
        <f t="shared" si="2"/>
        <v>0</v>
      </c>
      <c r="N25" s="87"/>
    </row>
    <row r="26" spans="2:14" x14ac:dyDescent="0.2">
      <c r="B26" s="83"/>
      <c r="C26" s="130"/>
      <c r="D26" s="141" t="s">
        <v>30</v>
      </c>
      <c r="E26" s="141"/>
      <c r="F26" s="141"/>
      <c r="G26" s="355">
        <f t="shared" ref="G26:M26" si="3">G24+G25</f>
        <v>0</v>
      </c>
      <c r="H26" s="355">
        <f t="shared" si="3"/>
        <v>0</v>
      </c>
      <c r="I26" s="355">
        <f t="shared" si="3"/>
        <v>0</v>
      </c>
      <c r="J26" s="355">
        <f t="shared" si="3"/>
        <v>0</v>
      </c>
      <c r="K26" s="355">
        <f t="shared" si="3"/>
        <v>0</v>
      </c>
      <c r="L26" s="355">
        <f t="shared" si="3"/>
        <v>0</v>
      </c>
      <c r="M26" s="355">
        <f t="shared" si="3"/>
        <v>0</v>
      </c>
      <c r="N26" s="87"/>
    </row>
    <row r="27" spans="2:14" x14ac:dyDescent="0.2">
      <c r="B27" s="83"/>
      <c r="C27" s="130"/>
      <c r="D27" s="131" t="s">
        <v>29</v>
      </c>
      <c r="E27" s="238">
        <v>0.3</v>
      </c>
      <c r="F27" s="145"/>
      <c r="G27" s="237">
        <v>0</v>
      </c>
      <c r="H27" s="237">
        <f t="shared" ref="H27:M28" si="4">G27</f>
        <v>0</v>
      </c>
      <c r="I27" s="237">
        <f t="shared" si="4"/>
        <v>0</v>
      </c>
      <c r="J27" s="237">
        <f t="shared" si="4"/>
        <v>0</v>
      </c>
      <c r="K27" s="237">
        <f t="shared" si="4"/>
        <v>0</v>
      </c>
      <c r="L27" s="237">
        <f t="shared" si="4"/>
        <v>0</v>
      </c>
      <c r="M27" s="237">
        <f t="shared" si="4"/>
        <v>0</v>
      </c>
      <c r="N27" s="87"/>
    </row>
    <row r="28" spans="2:14" x14ac:dyDescent="0.2">
      <c r="B28" s="83"/>
      <c r="C28" s="130"/>
      <c r="D28" s="131" t="s">
        <v>29</v>
      </c>
      <c r="E28" s="238">
        <v>1.2</v>
      </c>
      <c r="F28" s="145"/>
      <c r="G28" s="237">
        <v>0</v>
      </c>
      <c r="H28" s="237">
        <f t="shared" si="4"/>
        <v>0</v>
      </c>
      <c r="I28" s="237">
        <f t="shared" si="4"/>
        <v>0</v>
      </c>
      <c r="J28" s="237">
        <f t="shared" si="4"/>
        <v>0</v>
      </c>
      <c r="K28" s="237">
        <f t="shared" si="4"/>
        <v>0</v>
      </c>
      <c r="L28" s="237">
        <f t="shared" si="4"/>
        <v>0</v>
      </c>
      <c r="M28" s="237">
        <f t="shared" si="4"/>
        <v>0</v>
      </c>
      <c r="N28" s="87"/>
    </row>
    <row r="29" spans="2:14" ht="12.75" customHeight="1" x14ac:dyDescent="0.2">
      <c r="B29" s="83"/>
      <c r="C29" s="130"/>
      <c r="D29" s="131" t="s">
        <v>28</v>
      </c>
      <c r="E29" s="131"/>
      <c r="F29" s="131"/>
      <c r="G29" s="430">
        <f t="shared" ref="G29:M29" si="5">($E$27*G27)+($E$28*G28)</f>
        <v>0</v>
      </c>
      <c r="H29" s="430">
        <f t="shared" si="5"/>
        <v>0</v>
      </c>
      <c r="I29" s="430">
        <f t="shared" si="5"/>
        <v>0</v>
      </c>
      <c r="J29" s="430">
        <f t="shared" si="5"/>
        <v>0</v>
      </c>
      <c r="K29" s="430">
        <f t="shared" si="5"/>
        <v>0</v>
      </c>
      <c r="L29" s="430">
        <f t="shared" si="5"/>
        <v>0</v>
      </c>
      <c r="M29" s="430">
        <f t="shared" si="5"/>
        <v>0</v>
      </c>
      <c r="N29" s="87"/>
    </row>
    <row r="30" spans="2:14" s="72" customFormat="1" ht="12.75" customHeight="1" x14ac:dyDescent="0.2">
      <c r="B30" s="94"/>
      <c r="C30" s="146"/>
      <c r="D30" s="141" t="s">
        <v>69</v>
      </c>
      <c r="E30" s="141"/>
      <c r="F30" s="141"/>
      <c r="G30" s="420">
        <f t="shared" ref="G30:M30" si="6">ROUND(IF(G31&lt;(G26*0.8),G31,(0.8*G26)),0)</f>
        <v>0</v>
      </c>
      <c r="H30" s="420">
        <f t="shared" si="6"/>
        <v>0</v>
      </c>
      <c r="I30" s="420">
        <f t="shared" si="6"/>
        <v>0</v>
      </c>
      <c r="J30" s="420">
        <f t="shared" si="6"/>
        <v>0</v>
      </c>
      <c r="K30" s="420">
        <f t="shared" si="6"/>
        <v>0</v>
      </c>
      <c r="L30" s="420">
        <f t="shared" si="6"/>
        <v>0</v>
      </c>
      <c r="M30" s="420">
        <f t="shared" si="6"/>
        <v>0</v>
      </c>
      <c r="N30" s="95"/>
    </row>
    <row r="31" spans="2:14" ht="12.75" customHeight="1" x14ac:dyDescent="0.2">
      <c r="B31" s="83"/>
      <c r="C31" s="130"/>
      <c r="D31" s="131"/>
      <c r="E31" s="131"/>
      <c r="F31" s="131"/>
      <c r="G31" s="271">
        <f>IF((ROUND(IF(G29-(tabpers!M44*G26)&lt;0,0,(G29-(tabpers!M44*G26))),0))&lt;(G50+G61),(G50+G61),((ROUND(IF(G29-(tabpers!M44*G26)&lt;0,0,(G29-(tabpers!M44*G26))),0))))</f>
        <v>0</v>
      </c>
      <c r="H31" s="271">
        <f>IF((ROUND(IF(H29-(tabpers!N44*H26)&lt;0,0,(H29-(tabpers!N44*H26))),0))&lt;(H50+H61),(H50+H61),((ROUND(IF(H29-(tabpers!N44*H26)&lt;0,0,(H29-(tabpers!N44*H26))),0))))</f>
        <v>0</v>
      </c>
      <c r="I31" s="271">
        <f>IF((ROUND(IF(I29-(tabpers!O44*I26)&lt;0,0,(I29-(tabpers!O44*I26))),0))&lt;(I50+I61),(I50+I61),((ROUND(IF(I29-(tabpers!O44*I26)&lt;0,0,(I29-(tabpers!O44*I26))),0))))</f>
        <v>0</v>
      </c>
      <c r="J31" s="271">
        <f>IF((ROUND(IF(J29-(tabpers!P44*J26)&lt;0,0,(J29-(tabpers!P44*J26))),0))&lt;(J50+J61),(J50+J61),((ROUND(IF(J29-(tabpers!P44*J26)&lt;0,0,(J29-(tabpers!P44*J26))),0))))</f>
        <v>0</v>
      </c>
      <c r="K31" s="271">
        <f>IF((ROUND(IF(K29-(tabpers!Q44*K26)&lt;0,0,(K29-(tabpers!Q44*K26))),0))&lt;(K50+K61),(K50+K61),((ROUND(IF(K29-(tabpers!Q44*K26)&lt;0,0,(K29-(tabpers!Q44*K26))),0))))</f>
        <v>0</v>
      </c>
      <c r="L31" s="271">
        <f>IF((ROUND(IF(L29-(tabpers!R44*L26)&lt;0,0,(L29-(tabpers!R44*L26))),0))&lt;(L50+L61),(L50+L61),((ROUND(IF(L29-(tabpers!R44*L26)&lt;0,0,(L29-(tabpers!R44*L26))),0))))</f>
        <v>0</v>
      </c>
      <c r="M31" s="271">
        <f>IF((ROUND(IF(M29-(tabpers!S44*M26)&lt;0,0,(M29-(tabpers!S44*M26))),0))&lt;(M50+M61),(M50+M61),((ROUND(IF(M29-(tabpers!S44*M26)&lt;0,0,(M29-(tabpers!S44*M26))),0))))</f>
        <v>0</v>
      </c>
      <c r="N31" s="87"/>
    </row>
    <row r="32" spans="2:14" x14ac:dyDescent="0.2">
      <c r="B32" s="96"/>
      <c r="C32" s="147"/>
      <c r="D32" s="132" t="s">
        <v>3</v>
      </c>
      <c r="E32" s="132"/>
      <c r="F32" s="132"/>
      <c r="G32" s="431">
        <f t="shared" ref="G32:M32" si="7">FLOOR(G26*1.03,1)</f>
        <v>0</v>
      </c>
      <c r="H32" s="431">
        <f t="shared" si="7"/>
        <v>0</v>
      </c>
      <c r="I32" s="431">
        <f t="shared" si="7"/>
        <v>0</v>
      </c>
      <c r="J32" s="431">
        <f t="shared" si="7"/>
        <v>0</v>
      </c>
      <c r="K32" s="431">
        <f t="shared" si="7"/>
        <v>0</v>
      </c>
      <c r="L32" s="431">
        <f t="shared" si="7"/>
        <v>0</v>
      </c>
      <c r="M32" s="431">
        <f t="shared" si="7"/>
        <v>0</v>
      </c>
      <c r="N32" s="98"/>
    </row>
    <row r="33" spans="2:14" x14ac:dyDescent="0.2">
      <c r="B33" s="96"/>
      <c r="C33" s="147"/>
      <c r="D33" s="148"/>
      <c r="E33" s="148"/>
      <c r="F33" s="148"/>
      <c r="G33" s="143"/>
      <c r="H33" s="143"/>
      <c r="I33" s="143"/>
      <c r="J33" s="143"/>
      <c r="K33" s="143"/>
      <c r="L33" s="143"/>
      <c r="M33" s="143"/>
      <c r="N33" s="98"/>
    </row>
    <row r="34" spans="2:14" x14ac:dyDescent="0.2">
      <c r="B34" s="96"/>
      <c r="C34" s="147"/>
      <c r="D34" s="131" t="s">
        <v>152</v>
      </c>
      <c r="E34" s="131"/>
      <c r="F34" s="131"/>
      <c r="G34" s="236" t="s">
        <v>70</v>
      </c>
      <c r="H34" s="236" t="str">
        <f t="shared" ref="H34:M34" si="8">+G34</f>
        <v>nee</v>
      </c>
      <c r="I34" s="236" t="str">
        <f t="shared" si="8"/>
        <v>nee</v>
      </c>
      <c r="J34" s="236" t="str">
        <f t="shared" si="8"/>
        <v>nee</v>
      </c>
      <c r="K34" s="236" t="str">
        <f t="shared" si="8"/>
        <v>nee</v>
      </c>
      <c r="L34" s="236" t="str">
        <f t="shared" si="8"/>
        <v>nee</v>
      </c>
      <c r="M34" s="236" t="str">
        <f t="shared" si="8"/>
        <v>nee</v>
      </c>
      <c r="N34" s="98"/>
    </row>
    <row r="35" spans="2:14" ht="12.75" hidden="1" customHeight="1" x14ac:dyDescent="0.2">
      <c r="B35" s="96"/>
      <c r="C35" s="147"/>
      <c r="D35" s="131" t="s">
        <v>160</v>
      </c>
      <c r="E35" s="131"/>
      <c r="F35" s="131"/>
      <c r="G35" s="400">
        <f t="shared" ref="G35" si="9">SUM(G27:G28)</f>
        <v>0</v>
      </c>
      <c r="H35" s="400">
        <f t="shared" ref="H35:M35" si="10">SUM(H27:H28)</f>
        <v>0</v>
      </c>
      <c r="I35" s="400">
        <f t="shared" si="10"/>
        <v>0</v>
      </c>
      <c r="J35" s="400">
        <f t="shared" si="10"/>
        <v>0</v>
      </c>
      <c r="K35" s="400">
        <f t="shared" si="10"/>
        <v>0</v>
      </c>
      <c r="L35" s="400">
        <f t="shared" si="10"/>
        <v>0</v>
      </c>
      <c r="M35" s="400">
        <f t="shared" si="10"/>
        <v>0</v>
      </c>
      <c r="N35" s="98"/>
    </row>
    <row r="36" spans="2:14" x14ac:dyDescent="0.2">
      <c r="B36" s="96"/>
      <c r="C36" s="147"/>
      <c r="D36" s="131" t="s">
        <v>87</v>
      </c>
      <c r="E36" s="131"/>
      <c r="F36" s="131"/>
      <c r="G36" s="237">
        <v>0</v>
      </c>
      <c r="H36" s="237">
        <f t="shared" ref="H36:M36" si="11">G36</f>
        <v>0</v>
      </c>
      <c r="I36" s="237">
        <f t="shared" si="11"/>
        <v>0</v>
      </c>
      <c r="J36" s="237">
        <f t="shared" si="11"/>
        <v>0</v>
      </c>
      <c r="K36" s="237">
        <f t="shared" si="11"/>
        <v>0</v>
      </c>
      <c r="L36" s="237">
        <f t="shared" si="11"/>
        <v>0</v>
      </c>
      <c r="M36" s="237">
        <f t="shared" si="11"/>
        <v>0</v>
      </c>
      <c r="N36" s="87"/>
    </row>
    <row r="37" spans="2:14" x14ac:dyDescent="0.2">
      <c r="B37" s="96"/>
      <c r="C37" s="198"/>
      <c r="D37" s="190"/>
      <c r="E37" s="190"/>
      <c r="F37" s="190"/>
      <c r="G37" s="223"/>
      <c r="H37" s="223"/>
      <c r="I37" s="223"/>
      <c r="J37" s="223"/>
      <c r="K37" s="223"/>
      <c r="L37" s="223"/>
      <c r="M37" s="223"/>
      <c r="N37" s="98"/>
    </row>
    <row r="38" spans="2:14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7"/>
    </row>
    <row r="39" spans="2:14" x14ac:dyDescent="0.2">
      <c r="B39" s="94"/>
      <c r="C39" s="224"/>
      <c r="D39" s="192"/>
      <c r="E39" s="192"/>
      <c r="F39" s="127"/>
      <c r="G39" s="160"/>
      <c r="H39" s="160"/>
      <c r="I39" s="160"/>
      <c r="J39" s="160"/>
      <c r="K39" s="160"/>
      <c r="L39" s="160"/>
      <c r="M39" s="160"/>
      <c r="N39" s="87"/>
    </row>
    <row r="40" spans="2:14" x14ac:dyDescent="0.2">
      <c r="B40" s="94"/>
      <c r="C40" s="146"/>
      <c r="D40" s="484" t="s">
        <v>191</v>
      </c>
      <c r="E40" s="148"/>
      <c r="F40" s="132"/>
      <c r="G40" s="136"/>
      <c r="H40" s="136"/>
      <c r="I40" s="136"/>
      <c r="J40" s="136"/>
      <c r="K40" s="136"/>
      <c r="L40" s="136"/>
      <c r="M40" s="136"/>
      <c r="N40" s="87"/>
    </row>
    <row r="41" spans="2:14" x14ac:dyDescent="0.2">
      <c r="B41" s="94"/>
      <c r="C41" s="146"/>
      <c r="D41" s="485" t="s">
        <v>201</v>
      </c>
      <c r="E41" s="164"/>
      <c r="F41" s="132"/>
      <c r="G41" s="136"/>
      <c r="H41" s="136"/>
      <c r="I41" s="136"/>
      <c r="J41" s="136"/>
      <c r="K41" s="136"/>
      <c r="L41" s="136"/>
      <c r="M41" s="136"/>
      <c r="N41" s="87"/>
    </row>
    <row r="42" spans="2:14" x14ac:dyDescent="0.2">
      <c r="B42" s="94"/>
      <c r="C42" s="146"/>
      <c r="D42" s="149"/>
      <c r="E42" s="149"/>
      <c r="F42" s="132"/>
      <c r="G42" s="136"/>
      <c r="H42" s="136"/>
      <c r="I42" s="136"/>
      <c r="J42" s="136"/>
      <c r="K42" s="136"/>
      <c r="L42" s="136"/>
      <c r="M42" s="136"/>
      <c r="N42" s="87"/>
    </row>
    <row r="43" spans="2:14" x14ac:dyDescent="0.2">
      <c r="B43" s="83"/>
      <c r="C43" s="130"/>
      <c r="D43" s="148" t="s">
        <v>63</v>
      </c>
      <c r="E43" s="148"/>
      <c r="F43" s="132"/>
      <c r="G43" s="136"/>
      <c r="H43" s="136"/>
      <c r="I43" s="136"/>
      <c r="J43" s="136"/>
      <c r="K43" s="136"/>
      <c r="L43" s="136"/>
      <c r="M43" s="136"/>
      <c r="N43" s="87"/>
    </row>
    <row r="44" spans="2:14" x14ac:dyDescent="0.2">
      <c r="B44" s="83"/>
      <c r="C44" s="130"/>
      <c r="D44" s="131" t="s">
        <v>4</v>
      </c>
      <c r="E44" s="131"/>
      <c r="F44" s="132"/>
      <c r="G44" s="431">
        <f t="shared" ref="G44:M44" si="12">IF(G57=0,0,(G24-G55))</f>
        <v>0</v>
      </c>
      <c r="H44" s="431">
        <f t="shared" si="12"/>
        <v>0</v>
      </c>
      <c r="I44" s="431">
        <f t="shared" si="12"/>
        <v>0</v>
      </c>
      <c r="J44" s="431">
        <f t="shared" si="12"/>
        <v>0</v>
      </c>
      <c r="K44" s="431">
        <f t="shared" si="12"/>
        <v>0</v>
      </c>
      <c r="L44" s="431">
        <f t="shared" si="12"/>
        <v>0</v>
      </c>
      <c r="M44" s="431">
        <f t="shared" si="12"/>
        <v>0</v>
      </c>
      <c r="N44" s="87"/>
    </row>
    <row r="45" spans="2:14" x14ac:dyDescent="0.2">
      <c r="B45" s="83"/>
      <c r="C45" s="130"/>
      <c r="D45" s="131" t="s">
        <v>5</v>
      </c>
      <c r="E45" s="131"/>
      <c r="F45" s="132"/>
      <c r="G45" s="431">
        <f t="shared" ref="G45:M45" si="13">IF(G57=0,0,(G25-G56))</f>
        <v>0</v>
      </c>
      <c r="H45" s="431">
        <f t="shared" si="13"/>
        <v>0</v>
      </c>
      <c r="I45" s="431">
        <f t="shared" si="13"/>
        <v>0</v>
      </c>
      <c r="J45" s="431">
        <f t="shared" si="13"/>
        <v>0</v>
      </c>
      <c r="K45" s="431">
        <f t="shared" si="13"/>
        <v>0</v>
      </c>
      <c r="L45" s="431">
        <f t="shared" si="13"/>
        <v>0</v>
      </c>
      <c r="M45" s="431">
        <f t="shared" si="13"/>
        <v>0</v>
      </c>
      <c r="N45" s="87"/>
    </row>
    <row r="46" spans="2:14" x14ac:dyDescent="0.2">
      <c r="B46" s="83"/>
      <c r="C46" s="130"/>
      <c r="D46" s="141" t="s">
        <v>30</v>
      </c>
      <c r="E46" s="141"/>
      <c r="F46" s="141"/>
      <c r="G46" s="355">
        <f t="shared" ref="G46:M46" si="14">G44+G45</f>
        <v>0</v>
      </c>
      <c r="H46" s="355">
        <f t="shared" si="14"/>
        <v>0</v>
      </c>
      <c r="I46" s="355">
        <f t="shared" si="14"/>
        <v>0</v>
      </c>
      <c r="J46" s="355">
        <f t="shared" si="14"/>
        <v>0</v>
      </c>
      <c r="K46" s="355">
        <f t="shared" si="14"/>
        <v>0</v>
      </c>
      <c r="L46" s="355">
        <f t="shared" si="14"/>
        <v>0</v>
      </c>
      <c r="M46" s="355">
        <f t="shared" si="14"/>
        <v>0</v>
      </c>
      <c r="N46" s="87"/>
    </row>
    <row r="47" spans="2:14" x14ac:dyDescent="0.2">
      <c r="B47" s="83"/>
      <c r="C47" s="130"/>
      <c r="D47" s="131" t="s">
        <v>29</v>
      </c>
      <c r="E47" s="238">
        <v>0.3</v>
      </c>
      <c r="F47" s="132"/>
      <c r="G47" s="431">
        <f t="shared" ref="G47:M48" si="15">IF(G$57=0,0,(G27-G58))</f>
        <v>0</v>
      </c>
      <c r="H47" s="431">
        <f t="shared" si="15"/>
        <v>0</v>
      </c>
      <c r="I47" s="431">
        <f t="shared" si="15"/>
        <v>0</v>
      </c>
      <c r="J47" s="431">
        <f t="shared" si="15"/>
        <v>0</v>
      </c>
      <c r="K47" s="431">
        <f t="shared" si="15"/>
        <v>0</v>
      </c>
      <c r="L47" s="431">
        <f t="shared" si="15"/>
        <v>0</v>
      </c>
      <c r="M47" s="431">
        <f t="shared" si="15"/>
        <v>0</v>
      </c>
      <c r="N47" s="87"/>
    </row>
    <row r="48" spans="2:14" x14ac:dyDescent="0.2">
      <c r="B48" s="83"/>
      <c r="C48" s="130"/>
      <c r="D48" s="131" t="s">
        <v>29</v>
      </c>
      <c r="E48" s="238">
        <v>1.2</v>
      </c>
      <c r="F48" s="132"/>
      <c r="G48" s="431">
        <f t="shared" si="15"/>
        <v>0</v>
      </c>
      <c r="H48" s="431">
        <f t="shared" si="15"/>
        <v>0</v>
      </c>
      <c r="I48" s="431">
        <f t="shared" si="15"/>
        <v>0</v>
      </c>
      <c r="J48" s="431">
        <f t="shared" si="15"/>
        <v>0</v>
      </c>
      <c r="K48" s="431">
        <f t="shared" si="15"/>
        <v>0</v>
      </c>
      <c r="L48" s="431">
        <f t="shared" si="15"/>
        <v>0</v>
      </c>
      <c r="M48" s="431">
        <f t="shared" si="15"/>
        <v>0</v>
      </c>
      <c r="N48" s="87"/>
    </row>
    <row r="49" spans="2:14" x14ac:dyDescent="0.2">
      <c r="B49" s="83"/>
      <c r="C49" s="130"/>
      <c r="D49" s="131" t="s">
        <v>28</v>
      </c>
      <c r="E49" s="131"/>
      <c r="F49" s="132"/>
      <c r="G49" s="357">
        <f t="shared" ref="G49:M49" si="16">($E$27*G47)+($E$28*G48)</f>
        <v>0</v>
      </c>
      <c r="H49" s="357">
        <f t="shared" si="16"/>
        <v>0</v>
      </c>
      <c r="I49" s="357">
        <f t="shared" si="16"/>
        <v>0</v>
      </c>
      <c r="J49" s="357">
        <f t="shared" si="16"/>
        <v>0</v>
      </c>
      <c r="K49" s="357">
        <f t="shared" si="16"/>
        <v>0</v>
      </c>
      <c r="L49" s="357">
        <f t="shared" si="16"/>
        <v>0</v>
      </c>
      <c r="M49" s="357">
        <f t="shared" si="16"/>
        <v>0</v>
      </c>
      <c r="N49" s="87"/>
    </row>
    <row r="50" spans="2:14" s="72" customFormat="1" x14ac:dyDescent="0.2">
      <c r="B50" s="94"/>
      <c r="C50" s="146"/>
      <c r="D50" s="141" t="s">
        <v>69</v>
      </c>
      <c r="E50" s="141"/>
      <c r="F50" s="148"/>
      <c r="G50" s="420">
        <f t="shared" ref="G50:M50" si="17">ROUND(IF(G53&lt;(G46*0.8),G53,(0.8*G46)),0)</f>
        <v>0</v>
      </c>
      <c r="H50" s="420">
        <f t="shared" si="17"/>
        <v>0</v>
      </c>
      <c r="I50" s="420">
        <f t="shared" si="17"/>
        <v>0</v>
      </c>
      <c r="J50" s="420">
        <f t="shared" si="17"/>
        <v>0</v>
      </c>
      <c r="K50" s="420">
        <f t="shared" si="17"/>
        <v>0</v>
      </c>
      <c r="L50" s="420">
        <f t="shared" si="17"/>
        <v>0</v>
      </c>
      <c r="M50" s="420">
        <f t="shared" si="17"/>
        <v>0</v>
      </c>
      <c r="N50" s="95"/>
    </row>
    <row r="51" spans="2:14" x14ac:dyDescent="0.2">
      <c r="B51" s="83"/>
      <c r="C51" s="130"/>
      <c r="D51" s="131" t="s">
        <v>152</v>
      </c>
      <c r="E51" s="131"/>
      <c r="F51" s="132"/>
      <c r="G51" s="236" t="s">
        <v>70</v>
      </c>
      <c r="H51" s="236" t="str">
        <f t="shared" ref="H51:M51" si="18">+G51</f>
        <v>nee</v>
      </c>
      <c r="I51" s="236" t="str">
        <f t="shared" si="18"/>
        <v>nee</v>
      </c>
      <c r="J51" s="236" t="str">
        <f t="shared" si="18"/>
        <v>nee</v>
      </c>
      <c r="K51" s="236" t="str">
        <f t="shared" si="18"/>
        <v>nee</v>
      </c>
      <c r="L51" s="236" t="str">
        <f t="shared" si="18"/>
        <v>nee</v>
      </c>
      <c r="M51" s="236" t="str">
        <f t="shared" si="18"/>
        <v>nee</v>
      </c>
      <c r="N51" s="87"/>
    </row>
    <row r="52" spans="2:14" x14ac:dyDescent="0.2">
      <c r="B52" s="83"/>
      <c r="C52" s="130"/>
      <c r="D52" s="131" t="s">
        <v>153</v>
      </c>
      <c r="E52" s="131"/>
      <c r="F52" s="132"/>
      <c r="G52" s="356">
        <f t="shared" ref="G52:M52" si="19">SUM(G47:G48)</f>
        <v>0</v>
      </c>
      <c r="H52" s="356">
        <f t="shared" si="19"/>
        <v>0</v>
      </c>
      <c r="I52" s="356">
        <f t="shared" si="19"/>
        <v>0</v>
      </c>
      <c r="J52" s="356">
        <f t="shared" si="19"/>
        <v>0</v>
      </c>
      <c r="K52" s="356">
        <f t="shared" si="19"/>
        <v>0</v>
      </c>
      <c r="L52" s="356">
        <f t="shared" si="19"/>
        <v>0</v>
      </c>
      <c r="M52" s="356">
        <f t="shared" si="19"/>
        <v>0</v>
      </c>
      <c r="N52" s="87"/>
    </row>
    <row r="53" spans="2:14" x14ac:dyDescent="0.2">
      <c r="B53" s="94"/>
      <c r="C53" s="146"/>
      <c r="D53" s="150"/>
      <c r="E53" s="150"/>
      <c r="F53" s="148"/>
      <c r="G53" s="271">
        <f>ROUND(IF(G49-(tabpers!M$44*G46)&lt;0,0,(G49-(tabpers!M$44*G46))),0)</f>
        <v>0</v>
      </c>
      <c r="H53" s="271">
        <f>ROUND(IF(H49-(tabpers!N$44*H46)&lt;0,0,(H49-(tabpers!N$44*H46))),0)</f>
        <v>0</v>
      </c>
      <c r="I53" s="271">
        <f>ROUND(IF(I49-(tabpers!O$44*I46)&lt;0,0,(I49-(tabpers!O$44*I46))),0)</f>
        <v>0</v>
      </c>
      <c r="J53" s="271">
        <f>ROUND(IF(J49-(tabpers!P$44*J46)&lt;0,0,(J49-(tabpers!P$44*J46))),0)</f>
        <v>0</v>
      </c>
      <c r="K53" s="271">
        <f>ROUND(IF(K49-(tabpers!Q$44*K46)&lt;0,0,(K49-(tabpers!Q$44*K46))),0)</f>
        <v>0</v>
      </c>
      <c r="L53" s="271">
        <f>ROUND(IF(L49-(tabpers!R$44*L46)&lt;0,0,(L49-(tabpers!R$44*L46))),0)</f>
        <v>0</v>
      </c>
      <c r="M53" s="271">
        <f>ROUND(IF(M49-(tabpers!S$44*M46)&lt;0,0,(M49-(tabpers!S$44*M46))),0)</f>
        <v>0</v>
      </c>
      <c r="N53" s="95"/>
    </row>
    <row r="54" spans="2:14" x14ac:dyDescent="0.2">
      <c r="B54" s="83"/>
      <c r="C54" s="130"/>
      <c r="D54" s="151" t="s">
        <v>202</v>
      </c>
      <c r="E54" s="151"/>
      <c r="F54" s="132"/>
      <c r="G54" s="132"/>
      <c r="H54" s="132"/>
      <c r="I54" s="132"/>
      <c r="J54" s="132"/>
      <c r="K54" s="132"/>
      <c r="L54" s="132"/>
      <c r="M54" s="132"/>
      <c r="N54" s="87"/>
    </row>
    <row r="55" spans="2:14" x14ac:dyDescent="0.2">
      <c r="B55" s="83"/>
      <c r="C55" s="130"/>
      <c r="D55" s="131" t="s">
        <v>4</v>
      </c>
      <c r="E55" s="131"/>
      <c r="F55" s="132"/>
      <c r="G55" s="237">
        <v>0</v>
      </c>
      <c r="H55" s="237">
        <f t="shared" ref="H55:M56" si="20">G55</f>
        <v>0</v>
      </c>
      <c r="I55" s="237">
        <f t="shared" si="20"/>
        <v>0</v>
      </c>
      <c r="J55" s="237">
        <f t="shared" si="20"/>
        <v>0</v>
      </c>
      <c r="K55" s="237">
        <f t="shared" si="20"/>
        <v>0</v>
      </c>
      <c r="L55" s="237">
        <f t="shared" si="20"/>
        <v>0</v>
      </c>
      <c r="M55" s="237">
        <f t="shared" si="20"/>
        <v>0</v>
      </c>
      <c r="N55" s="87"/>
    </row>
    <row r="56" spans="2:14" x14ac:dyDescent="0.2">
      <c r="B56" s="83"/>
      <c r="C56" s="130"/>
      <c r="D56" s="131" t="s">
        <v>5</v>
      </c>
      <c r="E56" s="131"/>
      <c r="F56" s="132"/>
      <c r="G56" s="237">
        <v>0</v>
      </c>
      <c r="H56" s="237">
        <f t="shared" si="20"/>
        <v>0</v>
      </c>
      <c r="I56" s="237">
        <f t="shared" si="20"/>
        <v>0</v>
      </c>
      <c r="J56" s="237">
        <f t="shared" si="20"/>
        <v>0</v>
      </c>
      <c r="K56" s="237">
        <f t="shared" si="20"/>
        <v>0</v>
      </c>
      <c r="L56" s="237">
        <f t="shared" si="20"/>
        <v>0</v>
      </c>
      <c r="M56" s="237">
        <f t="shared" si="20"/>
        <v>0</v>
      </c>
      <c r="N56" s="87"/>
    </row>
    <row r="57" spans="2:14" x14ac:dyDescent="0.2">
      <c r="B57" s="83"/>
      <c r="C57" s="130"/>
      <c r="D57" s="141" t="s">
        <v>30</v>
      </c>
      <c r="E57" s="141"/>
      <c r="F57" s="132"/>
      <c r="G57" s="355">
        <f t="shared" ref="G57:M57" si="21">G55+G56</f>
        <v>0</v>
      </c>
      <c r="H57" s="355">
        <f t="shared" si="21"/>
        <v>0</v>
      </c>
      <c r="I57" s="355">
        <f t="shared" si="21"/>
        <v>0</v>
      </c>
      <c r="J57" s="355">
        <f t="shared" si="21"/>
        <v>0</v>
      </c>
      <c r="K57" s="355">
        <f t="shared" si="21"/>
        <v>0</v>
      </c>
      <c r="L57" s="355">
        <f t="shared" si="21"/>
        <v>0</v>
      </c>
      <c r="M57" s="355">
        <f t="shared" si="21"/>
        <v>0</v>
      </c>
      <c r="N57" s="87"/>
    </row>
    <row r="58" spans="2:14" x14ac:dyDescent="0.2">
      <c r="B58" s="83"/>
      <c r="C58" s="130"/>
      <c r="D58" s="131" t="s">
        <v>29</v>
      </c>
      <c r="E58" s="238">
        <v>0.3</v>
      </c>
      <c r="F58" s="132"/>
      <c r="G58" s="237">
        <v>0</v>
      </c>
      <c r="H58" s="237">
        <f t="shared" ref="H58:M59" si="22">G58</f>
        <v>0</v>
      </c>
      <c r="I58" s="237">
        <f t="shared" si="22"/>
        <v>0</v>
      </c>
      <c r="J58" s="237">
        <f t="shared" si="22"/>
        <v>0</v>
      </c>
      <c r="K58" s="237">
        <f t="shared" si="22"/>
        <v>0</v>
      </c>
      <c r="L58" s="237">
        <f t="shared" si="22"/>
        <v>0</v>
      </c>
      <c r="M58" s="237">
        <f t="shared" si="22"/>
        <v>0</v>
      </c>
      <c r="N58" s="87"/>
    </row>
    <row r="59" spans="2:14" x14ac:dyDescent="0.2">
      <c r="B59" s="83"/>
      <c r="C59" s="130"/>
      <c r="D59" s="131" t="s">
        <v>29</v>
      </c>
      <c r="E59" s="238">
        <v>1.2</v>
      </c>
      <c r="F59" s="132"/>
      <c r="G59" s="237">
        <v>0</v>
      </c>
      <c r="H59" s="237">
        <f t="shared" si="22"/>
        <v>0</v>
      </c>
      <c r="I59" s="237">
        <f t="shared" si="22"/>
        <v>0</v>
      </c>
      <c r="J59" s="237">
        <f t="shared" si="22"/>
        <v>0</v>
      </c>
      <c r="K59" s="237">
        <f t="shared" si="22"/>
        <v>0</v>
      </c>
      <c r="L59" s="237">
        <f t="shared" si="22"/>
        <v>0</v>
      </c>
      <c r="M59" s="237">
        <f t="shared" si="22"/>
        <v>0</v>
      </c>
      <c r="N59" s="87"/>
    </row>
    <row r="60" spans="2:14" x14ac:dyDescent="0.2">
      <c r="B60" s="83"/>
      <c r="C60" s="130"/>
      <c r="D60" s="131" t="s">
        <v>28</v>
      </c>
      <c r="E60" s="131"/>
      <c r="F60" s="132"/>
      <c r="G60" s="430">
        <f t="shared" ref="G60:M60" si="23">($E$27*G58)+($E$28*G59)</f>
        <v>0</v>
      </c>
      <c r="H60" s="430">
        <f t="shared" si="23"/>
        <v>0</v>
      </c>
      <c r="I60" s="430">
        <f t="shared" si="23"/>
        <v>0</v>
      </c>
      <c r="J60" s="430">
        <f t="shared" si="23"/>
        <v>0</v>
      </c>
      <c r="K60" s="430">
        <f t="shared" si="23"/>
        <v>0</v>
      </c>
      <c r="L60" s="430">
        <f t="shared" si="23"/>
        <v>0</v>
      </c>
      <c r="M60" s="430">
        <f t="shared" si="23"/>
        <v>0</v>
      </c>
      <c r="N60" s="87"/>
    </row>
    <row r="61" spans="2:14" x14ac:dyDescent="0.2">
      <c r="B61" s="83"/>
      <c r="C61" s="130"/>
      <c r="D61" s="131" t="s">
        <v>69</v>
      </c>
      <c r="E61" s="131"/>
      <c r="F61" s="132"/>
      <c r="G61" s="356">
        <f>ROUND(IF(G64&lt;(G57*0.8),G64,(0.8*G57)),0)</f>
        <v>0</v>
      </c>
      <c r="H61" s="356">
        <f t="shared" ref="H61:M61" si="24">ROUND(IF(H64&lt;(H57*0.8),H64,(0.8*H57)),0)</f>
        <v>0</v>
      </c>
      <c r="I61" s="356">
        <f t="shared" si="24"/>
        <v>0</v>
      </c>
      <c r="J61" s="356">
        <f t="shared" si="24"/>
        <v>0</v>
      </c>
      <c r="K61" s="356">
        <f t="shared" si="24"/>
        <v>0</v>
      </c>
      <c r="L61" s="356">
        <f t="shared" si="24"/>
        <v>0</v>
      </c>
      <c r="M61" s="356">
        <f t="shared" si="24"/>
        <v>0</v>
      </c>
      <c r="N61" s="87"/>
    </row>
    <row r="62" spans="2:14" x14ac:dyDescent="0.2">
      <c r="B62" s="83"/>
      <c r="C62" s="130"/>
      <c r="D62" s="131" t="s">
        <v>152</v>
      </c>
      <c r="E62" s="131"/>
      <c r="F62" s="132"/>
      <c r="G62" s="236" t="s">
        <v>70</v>
      </c>
      <c r="H62" s="236" t="str">
        <f t="shared" ref="H62:M62" si="25">+G62</f>
        <v>nee</v>
      </c>
      <c r="I62" s="236" t="str">
        <f t="shared" si="25"/>
        <v>nee</v>
      </c>
      <c r="J62" s="236" t="str">
        <f t="shared" si="25"/>
        <v>nee</v>
      </c>
      <c r="K62" s="236" t="str">
        <f t="shared" si="25"/>
        <v>nee</v>
      </c>
      <c r="L62" s="236" t="str">
        <f t="shared" si="25"/>
        <v>nee</v>
      </c>
      <c r="M62" s="236" t="str">
        <f t="shared" si="25"/>
        <v>nee</v>
      </c>
      <c r="N62" s="87"/>
    </row>
    <row r="63" spans="2:14" x14ac:dyDescent="0.2">
      <c r="B63" s="83"/>
      <c r="C63" s="130"/>
      <c r="D63" s="131" t="s">
        <v>153</v>
      </c>
      <c r="E63" s="131"/>
      <c r="F63" s="132"/>
      <c r="G63" s="356">
        <f t="shared" ref="G63:M63" si="26">SUM(G58:G59)</f>
        <v>0</v>
      </c>
      <c r="H63" s="356">
        <f t="shared" si="26"/>
        <v>0</v>
      </c>
      <c r="I63" s="356">
        <f t="shared" si="26"/>
        <v>0</v>
      </c>
      <c r="J63" s="356">
        <f t="shared" si="26"/>
        <v>0</v>
      </c>
      <c r="K63" s="356">
        <f t="shared" si="26"/>
        <v>0</v>
      </c>
      <c r="L63" s="356">
        <f t="shared" si="26"/>
        <v>0</v>
      </c>
      <c r="M63" s="356">
        <f t="shared" si="26"/>
        <v>0</v>
      </c>
      <c r="N63" s="87"/>
    </row>
    <row r="64" spans="2:14" x14ac:dyDescent="0.2">
      <c r="B64" s="83"/>
      <c r="C64" s="155"/>
      <c r="D64" s="225"/>
      <c r="E64" s="225"/>
      <c r="F64" s="184"/>
      <c r="G64" s="272">
        <f>ROUND(IF(G60-(tabpers!M$44*G57)&lt;0,0,(G60-(tabpers!M$44*G57))),0)</f>
        <v>0</v>
      </c>
      <c r="H64" s="272">
        <f>ROUND(IF(H60-(tabpers!N$44*H57)&lt;0,0,(H60-(tabpers!N$44*H57))),0)</f>
        <v>0</v>
      </c>
      <c r="I64" s="272">
        <f>ROUND(IF(I60-(tabpers!O$44*I57)&lt;0,0,(I60-(tabpers!O$44*I57))),0)</f>
        <v>0</v>
      </c>
      <c r="J64" s="272">
        <f>ROUND(IF(J60-(tabpers!P$44*J57)&lt;0,0,(J60-(tabpers!P$44*J57))),0)</f>
        <v>0</v>
      </c>
      <c r="K64" s="272">
        <f>ROUND(IF(K60-(tabpers!Q$44*K57)&lt;0,0,(K60-(tabpers!Q$44*K57))),0)</f>
        <v>0</v>
      </c>
      <c r="L64" s="272">
        <f>ROUND(IF(L60-(tabpers!R$44*L57)&lt;0,0,(L60-(tabpers!R$44*L57))),0)</f>
        <v>0</v>
      </c>
      <c r="M64" s="272">
        <f>ROUND(IF(M60-(tabpers!S$44*M57)&lt;0,0,(M60-(tabpers!S$44*M57))),0)</f>
        <v>0</v>
      </c>
      <c r="N64" s="87"/>
    </row>
    <row r="65" spans="2:14" x14ac:dyDescent="0.2">
      <c r="B65" s="83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7"/>
    </row>
    <row r="66" spans="2:14" x14ac:dyDescent="0.2">
      <c r="B66" s="83"/>
      <c r="C66" s="126"/>
      <c r="D66" s="158"/>
      <c r="E66" s="158"/>
      <c r="F66" s="158"/>
      <c r="G66" s="229"/>
      <c r="H66" s="229"/>
      <c r="I66" s="229"/>
      <c r="J66" s="229"/>
      <c r="K66" s="229"/>
      <c r="L66" s="229"/>
      <c r="M66" s="229"/>
      <c r="N66" s="87"/>
    </row>
    <row r="67" spans="2:14" x14ac:dyDescent="0.2">
      <c r="B67" s="83"/>
      <c r="C67" s="130"/>
      <c r="D67" s="131"/>
      <c r="E67" s="131"/>
      <c r="F67" s="131"/>
      <c r="G67" s="486">
        <f t="shared" ref="G67:M67" si="27">G9</f>
        <v>2016</v>
      </c>
      <c r="H67" s="486">
        <f t="shared" si="27"/>
        <v>2017</v>
      </c>
      <c r="I67" s="486">
        <f t="shared" si="27"/>
        <v>2018</v>
      </c>
      <c r="J67" s="486">
        <f t="shared" si="27"/>
        <v>2019</v>
      </c>
      <c r="K67" s="486">
        <f t="shared" si="27"/>
        <v>2020</v>
      </c>
      <c r="L67" s="486">
        <f t="shared" si="27"/>
        <v>2021</v>
      </c>
      <c r="M67" s="486">
        <f t="shared" si="27"/>
        <v>2022</v>
      </c>
      <c r="N67" s="87"/>
    </row>
    <row r="68" spans="2:14" x14ac:dyDescent="0.2">
      <c r="B68" s="83"/>
      <c r="C68" s="130"/>
      <c r="D68" s="131"/>
      <c r="E68" s="131"/>
      <c r="F68" s="131"/>
      <c r="G68" s="487"/>
      <c r="H68" s="487"/>
      <c r="I68" s="487"/>
      <c r="J68" s="487"/>
      <c r="K68" s="487"/>
      <c r="L68" s="487"/>
      <c r="M68" s="487"/>
      <c r="N68" s="87"/>
    </row>
    <row r="69" spans="2:14" x14ac:dyDescent="0.2">
      <c r="B69" s="83"/>
      <c r="C69" s="130"/>
      <c r="D69" s="131" t="s">
        <v>105</v>
      </c>
      <c r="E69" s="131"/>
      <c r="F69" s="131"/>
      <c r="G69" s="356">
        <f>ROUND(((tabmat!$O$387*G24)+(tabmat!$O$388*G25)+(IF(tabmat!$O$390-(G26*tabmat!$O$391)&lt;0,0,(tabmat!$O$390-(G26*tabmat!$O$391))))+(tabmat!$O$389*G30)),0)</f>
        <v>2</v>
      </c>
      <c r="H69" s="356">
        <f>ROUND(((tabmat!$O$387*H24)+(tabmat!$O$388*H25)+(IF(tabmat!$O$390-(H26*tabmat!$O$391)&lt;0,0,(tabmat!$O$390-(H26*tabmat!$O$391))))+(tabmat!$O$389*H30)),0)</f>
        <v>2</v>
      </c>
      <c r="I69" s="356">
        <f>ROUND(((tabmat!$O$387*I24)+(tabmat!$O$388*I25)+(IF(tabmat!$O$390-(I26*tabmat!$O$391)&lt;0,0,(tabmat!$O$390-(I26*tabmat!$O$391))))+(tabmat!$O$389*I30)),0)</f>
        <v>2</v>
      </c>
      <c r="J69" s="356">
        <f>ROUND(((tabmat!$O$387*J24)+(tabmat!$O$388*J25)+(IF(tabmat!$O$390-(J26*tabmat!$O$391)&lt;0,0,(tabmat!$O$390-(J26*tabmat!$O$391))))+(tabmat!$O$389*J30)),0)</f>
        <v>2</v>
      </c>
      <c r="K69" s="356">
        <f>ROUND(((tabmat!$O$387*K24)+(tabmat!$O$388*K25)+(IF(tabmat!$O$390-(K26*tabmat!$O$391)&lt;0,0,(tabmat!$O$390-(K26*tabmat!$O$391))))+(tabmat!$O$389*K30)),0)</f>
        <v>2</v>
      </c>
      <c r="L69" s="356">
        <f>ROUND(((tabmat!$O$387*L24)+(tabmat!$O$388*L25)+(IF(tabmat!$O$390-(L26*tabmat!$O$391)&lt;0,0,(tabmat!$O$390-(L26*tabmat!$O$391))))+(tabmat!$O$389*L30)),0)</f>
        <v>2</v>
      </c>
      <c r="M69" s="356">
        <f>ROUND(((tabmat!$O$387*M24)+(tabmat!$O$388*M25)+(IF(tabmat!$O$390-(M26*tabmat!$O$391)&lt;0,0,(tabmat!$O$390-(M26*tabmat!$O$391))))+(tabmat!$O$389*M30)),0)</f>
        <v>2</v>
      </c>
      <c r="N69" s="87"/>
    </row>
    <row r="70" spans="2:14" x14ac:dyDescent="0.2">
      <c r="B70" s="83"/>
      <c r="C70" s="130"/>
      <c r="D70" s="131" t="s">
        <v>106</v>
      </c>
      <c r="E70" s="131"/>
      <c r="F70" s="131"/>
      <c r="G70" s="356">
        <f t="shared" ref="G70:I70" si="28">SUM(G71:G72)</f>
        <v>0</v>
      </c>
      <c r="H70" s="356">
        <f t="shared" si="28"/>
        <v>0</v>
      </c>
      <c r="I70" s="356">
        <f t="shared" si="28"/>
        <v>0</v>
      </c>
      <c r="J70" s="356">
        <f t="shared" ref="J70:M70" si="29">SUM(J71:J72)</f>
        <v>0</v>
      </c>
      <c r="K70" s="356">
        <f t="shared" si="29"/>
        <v>0</v>
      </c>
      <c r="L70" s="356">
        <f t="shared" si="29"/>
        <v>0</v>
      </c>
      <c r="M70" s="356">
        <f t="shared" si="29"/>
        <v>0</v>
      </c>
      <c r="N70" s="87"/>
    </row>
    <row r="71" spans="2:14" s="73" customFormat="1" x14ac:dyDescent="0.2">
      <c r="B71" s="96"/>
      <c r="C71" s="147"/>
      <c r="D71" s="152" t="str">
        <f>D43</f>
        <v>Hoofdvestiging</v>
      </c>
      <c r="E71" s="152"/>
      <c r="F71" s="144"/>
      <c r="G71" s="432">
        <f>IF(G46=0,0,(ROUND(((tabmat!$O$387*G44)+(tabmat!$O$388*G45)+(IF(tabmat!$O$390-(G46*tabmat!$O$391)&lt;0,0,(tabmat!$O$390-(G46*tabmat!$O$391))))+(tabmat!$O$389*G50)),0)))</f>
        <v>0</v>
      </c>
      <c r="H71" s="432">
        <f>IF(H46=0,0,(ROUND(((tabmat!$O$387*H44)+(tabmat!$O$388*H45)+(IF(tabmat!$O$390-(H46*tabmat!$O$391)&lt;0,0,(tabmat!$O$390-(H46*tabmat!$O$391))))+(tabmat!$O$389*H50)),0)))</f>
        <v>0</v>
      </c>
      <c r="I71" s="432">
        <f>IF(I46=0,0,(ROUND(((tabmat!$O$387*I44)+(tabmat!$O$388*I45)+(IF(tabmat!$O$390-(I46*tabmat!$O$391)&lt;0,0,(tabmat!$O$390-(I46*tabmat!$O$391))))+(tabmat!$O$389*I50)),0)))</f>
        <v>0</v>
      </c>
      <c r="J71" s="432">
        <f>IF(J46=0,0,(ROUND(((tabmat!$O$387*J44)+(tabmat!$O$388*J45)+(IF(tabmat!$O$390-(J46*tabmat!$O$391)&lt;0,0,(tabmat!$O$390-(J46*tabmat!$O$391))))+(tabmat!$O$389*J50)),0)))</f>
        <v>0</v>
      </c>
      <c r="K71" s="432">
        <f>IF(K46=0,0,(ROUND(((tabmat!$O$387*K44)+(tabmat!$O$388*K45)+(IF(tabmat!$O$390-(K46*tabmat!$O$391)&lt;0,0,(tabmat!$O$390-(K46*tabmat!$O$391))))+(tabmat!$O$389*K50)),0)))</f>
        <v>0</v>
      </c>
      <c r="L71" s="432">
        <f>IF(L46=0,0,(ROUND(((tabmat!$O$387*L44)+(tabmat!$O$388*L45)+(IF(tabmat!$O$390-(L46*tabmat!$O$391)&lt;0,0,(tabmat!$O$390-(L46*tabmat!$O$391))))+(tabmat!$O$389*L50)),0)))</f>
        <v>0</v>
      </c>
      <c r="M71" s="432">
        <f>IF(M46=0,0,(ROUND(((tabmat!$O$387*M44)+(tabmat!$O$388*M45)+(IF(tabmat!$O$390-(M46*tabmat!$O$391)&lt;0,0,(tabmat!$O$390-(M46*tabmat!$O$391))))+(tabmat!$O$389*M50)),0)))</f>
        <v>0</v>
      </c>
      <c r="N71" s="98"/>
    </row>
    <row r="72" spans="2:14" s="73" customFormat="1" x14ac:dyDescent="0.2">
      <c r="B72" s="96"/>
      <c r="C72" s="147"/>
      <c r="D72" s="152" t="str">
        <f>D54</f>
        <v xml:space="preserve">Nevenvestiging </v>
      </c>
      <c r="E72" s="152"/>
      <c r="F72" s="144"/>
      <c r="G72" s="432">
        <f>IF(G57=0,0,(ROUND(((tabmat!$O$387*G55)+(tabmat!$O$388*G56)+(IF(tabmat!$O$390-(G57*tabmat!$O$391)&lt;0,0,(tabmat!$O$390-(G57*tabmat!$O$391))))+(tabmat!$O$389*G61)),0)))</f>
        <v>0</v>
      </c>
      <c r="H72" s="432">
        <f>IF(H57=0,0,(ROUND(((tabmat!$O$387*H55)+(tabmat!$O$388*H56)+(IF(tabmat!$O$390-(H57*tabmat!$O$391)&lt;0,0,(tabmat!$O$390-(H57*tabmat!$O$391))))+(tabmat!$O$389*H61)),0)))</f>
        <v>0</v>
      </c>
      <c r="I72" s="432">
        <f>IF(I57=0,0,(ROUND(((tabmat!$O$387*I55)+(tabmat!$O$388*I56)+(IF(tabmat!$O$390-(I57*tabmat!$O$391)&lt;0,0,(tabmat!$O$390-(I57*tabmat!$O$391))))+(tabmat!$O$389*I61)),0)))</f>
        <v>0</v>
      </c>
      <c r="J72" s="432">
        <f>IF(J57=0,0,(ROUND(((tabmat!$O$387*J55)+(tabmat!$O$388*J56)+(IF(tabmat!$O$390-(J57*tabmat!$O$391)&lt;0,0,(tabmat!$O$390-(J57*tabmat!$O$391))))+(tabmat!$O$389*J61)),0)))</f>
        <v>0</v>
      </c>
      <c r="K72" s="432">
        <f>IF(K57=0,0,(ROUND(((tabmat!$O$387*K55)+(tabmat!$O$388*K56)+(IF(tabmat!$O$390-(K57*tabmat!$O$391)&lt;0,0,(tabmat!$O$390-(K57*tabmat!$O$391))))+(tabmat!$O$389*K61)),0)))</f>
        <v>0</v>
      </c>
      <c r="L72" s="432">
        <f>IF(L57=0,0,(ROUND(((tabmat!$O$387*L55)+(tabmat!$O$388*L56)+(IF(tabmat!$O$390-(L57*tabmat!$O$391)&lt;0,0,(tabmat!$O$390-(L57*tabmat!$O$391))))+(tabmat!$O$389*L61)),0)))</f>
        <v>0</v>
      </c>
      <c r="M72" s="432">
        <f>IF(M57=0,0,(ROUND(((tabmat!$O$387*M55)+(tabmat!$O$388*M56)+(IF(tabmat!$O$390-(M57*tabmat!$O$391)&lt;0,0,(tabmat!$O$390-(M57*tabmat!$O$391))))+(tabmat!$O$389*M61)),0)))</f>
        <v>0</v>
      </c>
      <c r="N72" s="98"/>
    </row>
    <row r="73" spans="2:14" s="73" customFormat="1" x14ac:dyDescent="0.2">
      <c r="B73" s="96"/>
      <c r="C73" s="147"/>
      <c r="D73" s="152"/>
      <c r="E73" s="152"/>
      <c r="F73" s="144"/>
      <c r="G73" s="153"/>
      <c r="H73" s="153"/>
      <c r="I73" s="153"/>
      <c r="J73" s="153"/>
      <c r="K73" s="153"/>
      <c r="L73" s="153"/>
      <c r="M73" s="153"/>
      <c r="N73" s="98"/>
    </row>
    <row r="74" spans="2:14" x14ac:dyDescent="0.2">
      <c r="B74" s="83"/>
      <c r="C74" s="130"/>
      <c r="D74" s="131" t="s">
        <v>107</v>
      </c>
      <c r="E74" s="131"/>
      <c r="F74" s="131"/>
      <c r="G74" s="421">
        <f t="shared" ref="G74:M74" si="30">LOOKUP(G69,groepenleerlingennu,vloeroppervlaknu)</f>
        <v>375</v>
      </c>
      <c r="H74" s="421">
        <f t="shared" si="30"/>
        <v>375</v>
      </c>
      <c r="I74" s="421">
        <f t="shared" si="30"/>
        <v>375</v>
      </c>
      <c r="J74" s="421">
        <f t="shared" si="30"/>
        <v>375</v>
      </c>
      <c r="K74" s="421">
        <f t="shared" si="30"/>
        <v>375</v>
      </c>
      <c r="L74" s="421">
        <f t="shared" si="30"/>
        <v>375</v>
      </c>
      <c r="M74" s="421">
        <f t="shared" si="30"/>
        <v>375</v>
      </c>
      <c r="N74" s="87"/>
    </row>
    <row r="75" spans="2:14" x14ac:dyDescent="0.2">
      <c r="B75" s="83"/>
      <c r="C75" s="130"/>
      <c r="D75" s="131" t="s">
        <v>108</v>
      </c>
      <c r="E75" s="131"/>
      <c r="F75" s="131"/>
      <c r="G75" s="356">
        <f t="shared" ref="G75" si="31">SUM(G76:G77)</f>
        <v>0</v>
      </c>
      <c r="H75" s="356">
        <f t="shared" ref="H75:M75" si="32">SUM(H76:H77)</f>
        <v>0</v>
      </c>
      <c r="I75" s="356">
        <f t="shared" si="32"/>
        <v>0</v>
      </c>
      <c r="J75" s="356">
        <f t="shared" si="32"/>
        <v>0</v>
      </c>
      <c r="K75" s="356">
        <f t="shared" si="32"/>
        <v>0</v>
      </c>
      <c r="L75" s="356">
        <f t="shared" si="32"/>
        <v>0</v>
      </c>
      <c r="M75" s="356">
        <f t="shared" si="32"/>
        <v>0</v>
      </c>
      <c r="N75" s="87"/>
    </row>
    <row r="76" spans="2:14" x14ac:dyDescent="0.2">
      <c r="B76" s="83"/>
      <c r="C76" s="130"/>
      <c r="D76" s="152" t="str">
        <f>D71</f>
        <v>Hoofdvestiging</v>
      </c>
      <c r="E76" s="152"/>
      <c r="F76" s="144"/>
      <c r="G76" s="432">
        <f t="shared" ref="G76:M77" si="33">LOOKUP(G71,groepenleerlingennu,vloeroppervlaknu)</f>
        <v>0</v>
      </c>
      <c r="H76" s="432">
        <f t="shared" si="33"/>
        <v>0</v>
      </c>
      <c r="I76" s="432">
        <f t="shared" si="33"/>
        <v>0</v>
      </c>
      <c r="J76" s="432">
        <f t="shared" si="33"/>
        <v>0</v>
      </c>
      <c r="K76" s="432">
        <f t="shared" si="33"/>
        <v>0</v>
      </c>
      <c r="L76" s="432">
        <f t="shared" si="33"/>
        <v>0</v>
      </c>
      <c r="M76" s="432">
        <f t="shared" si="33"/>
        <v>0</v>
      </c>
      <c r="N76" s="87"/>
    </row>
    <row r="77" spans="2:14" x14ac:dyDescent="0.2">
      <c r="B77" s="83"/>
      <c r="C77" s="130"/>
      <c r="D77" s="152" t="str">
        <f>D72</f>
        <v xml:space="preserve">Nevenvestiging </v>
      </c>
      <c r="E77" s="152"/>
      <c r="F77" s="144"/>
      <c r="G77" s="432">
        <f t="shared" si="33"/>
        <v>0</v>
      </c>
      <c r="H77" s="432">
        <f t="shared" si="33"/>
        <v>0</v>
      </c>
      <c r="I77" s="432">
        <f t="shared" si="33"/>
        <v>0</v>
      </c>
      <c r="J77" s="432">
        <f t="shared" si="33"/>
        <v>0</v>
      </c>
      <c r="K77" s="432">
        <f t="shared" si="33"/>
        <v>0</v>
      </c>
      <c r="L77" s="432">
        <f t="shared" si="33"/>
        <v>0</v>
      </c>
      <c r="M77" s="432">
        <f t="shared" si="33"/>
        <v>0</v>
      </c>
      <c r="N77" s="87"/>
    </row>
    <row r="78" spans="2:14" x14ac:dyDescent="0.2">
      <c r="B78" s="83"/>
      <c r="C78" s="155"/>
      <c r="D78" s="156"/>
      <c r="E78" s="156"/>
      <c r="F78" s="156"/>
      <c r="G78" s="230"/>
      <c r="H78" s="230"/>
      <c r="I78" s="230"/>
      <c r="J78" s="230"/>
      <c r="K78" s="230"/>
      <c r="L78" s="230"/>
      <c r="M78" s="230"/>
      <c r="N78" s="87"/>
    </row>
    <row r="79" spans="2:14" hidden="1" x14ac:dyDescent="0.2">
      <c r="B79" s="83"/>
      <c r="C79" s="84"/>
      <c r="D79" s="93" t="s">
        <v>92</v>
      </c>
      <c r="E79" s="93"/>
      <c r="F79" s="84"/>
      <c r="G79" s="100">
        <f t="shared" ref="G79:K79" si="34">IF(G71=0,0,1)+IF(G72=0,0,1)</f>
        <v>0</v>
      </c>
      <c r="H79" s="100">
        <f t="shared" si="34"/>
        <v>0</v>
      </c>
      <c r="I79" s="100">
        <f t="shared" si="34"/>
        <v>0</v>
      </c>
      <c r="J79" s="100">
        <f t="shared" si="34"/>
        <v>0</v>
      </c>
      <c r="K79" s="100">
        <f t="shared" si="34"/>
        <v>0</v>
      </c>
      <c r="L79" s="100"/>
      <c r="M79" s="100"/>
      <c r="N79" s="87"/>
    </row>
    <row r="80" spans="2:14" x14ac:dyDescent="0.2">
      <c r="B80" s="83"/>
      <c r="C80" s="84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7"/>
    </row>
    <row r="81" spans="2:16" x14ac:dyDescent="0.2"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2:16" x14ac:dyDescent="0.2">
      <c r="B82" s="78"/>
      <c r="C82" s="79"/>
      <c r="D82" s="79"/>
      <c r="E82" s="79"/>
      <c r="F82" s="79"/>
      <c r="G82" s="104"/>
      <c r="H82" s="104"/>
      <c r="I82" s="104"/>
      <c r="J82" s="104"/>
      <c r="K82" s="104"/>
      <c r="L82" s="104"/>
      <c r="M82" s="104"/>
      <c r="N82" s="82"/>
    </row>
    <row r="83" spans="2:16" x14ac:dyDescent="0.2">
      <c r="B83" s="83"/>
      <c r="C83" s="84"/>
      <c r="D83" s="84"/>
      <c r="E83" s="84"/>
      <c r="F83" s="84"/>
      <c r="G83" s="89"/>
      <c r="H83" s="89"/>
      <c r="I83" s="89"/>
      <c r="J83" s="89"/>
      <c r="K83" s="89"/>
      <c r="L83" s="89"/>
      <c r="M83" s="89"/>
      <c r="N83" s="87"/>
    </row>
    <row r="84" spans="2:16" s="394" customFormat="1" ht="18.75" x14ac:dyDescent="0.3">
      <c r="B84" s="391"/>
      <c r="C84" s="121" t="s">
        <v>180</v>
      </c>
      <c r="D84" s="105"/>
      <c r="E84" s="105"/>
      <c r="F84" s="105"/>
      <c r="G84" s="401"/>
      <c r="H84" s="401"/>
      <c r="I84" s="401"/>
      <c r="J84" s="401"/>
      <c r="K84" s="401"/>
      <c r="L84" s="401"/>
      <c r="M84" s="401"/>
      <c r="N84" s="393"/>
    </row>
    <row r="85" spans="2:16" ht="15.75" x14ac:dyDescent="0.25">
      <c r="B85" s="83"/>
      <c r="C85" s="491" t="str">
        <f>IF(G13="","",G13)</f>
        <v/>
      </c>
      <c r="D85" s="84"/>
      <c r="E85" s="84"/>
      <c r="F85" s="84"/>
      <c r="G85" s="89"/>
      <c r="H85" s="89"/>
      <c r="I85" s="89"/>
      <c r="J85" s="89"/>
      <c r="K85" s="89"/>
      <c r="L85" s="89"/>
      <c r="M85" s="89"/>
      <c r="N85" s="87"/>
    </row>
    <row r="86" spans="2:16" x14ac:dyDescent="0.2">
      <c r="B86" s="83"/>
      <c r="C86" s="84"/>
      <c r="D86" s="85"/>
      <c r="E86" s="85"/>
      <c r="F86" s="85"/>
      <c r="G86" s="482" t="str">
        <f t="shared" ref="G86:M86" si="35">G8</f>
        <v>2016/17</v>
      </c>
      <c r="H86" s="482" t="str">
        <f t="shared" si="35"/>
        <v>2017/18</v>
      </c>
      <c r="I86" s="482" t="str">
        <f t="shared" si="35"/>
        <v>2018/19</v>
      </c>
      <c r="J86" s="482" t="str">
        <f t="shared" si="35"/>
        <v>2019/20</v>
      </c>
      <c r="K86" s="482" t="str">
        <f t="shared" si="35"/>
        <v>2020/21</v>
      </c>
      <c r="L86" s="482" t="str">
        <f t="shared" si="35"/>
        <v>2021/22</v>
      </c>
      <c r="M86" s="482" t="str">
        <f t="shared" si="35"/>
        <v>2023/23</v>
      </c>
      <c r="N86" s="87"/>
    </row>
    <row r="87" spans="2:16" x14ac:dyDescent="0.2">
      <c r="B87" s="83"/>
      <c r="C87" s="84"/>
      <c r="D87" s="84"/>
      <c r="E87" s="84"/>
      <c r="F87" s="84"/>
      <c r="G87" s="89"/>
      <c r="H87" s="89"/>
      <c r="I87" s="89"/>
      <c r="J87" s="89"/>
      <c r="K87" s="89"/>
      <c r="L87" s="89"/>
      <c r="M87" s="89"/>
      <c r="N87" s="87"/>
    </row>
    <row r="88" spans="2:16" x14ac:dyDescent="0.2">
      <c r="B88" s="83"/>
      <c r="C88" s="126"/>
      <c r="D88" s="158"/>
      <c r="E88" s="158"/>
      <c r="F88" s="127"/>
      <c r="G88" s="228"/>
      <c r="H88" s="228"/>
      <c r="I88" s="228"/>
      <c r="J88" s="228"/>
      <c r="K88" s="228"/>
      <c r="L88" s="228"/>
      <c r="M88" s="228"/>
      <c r="N88" s="87"/>
    </row>
    <row r="89" spans="2:16" x14ac:dyDescent="0.2">
      <c r="B89" s="83"/>
      <c r="C89" s="130"/>
      <c r="D89" s="488" t="s">
        <v>254</v>
      </c>
      <c r="E89" s="141"/>
      <c r="F89" s="132"/>
      <c r="G89" s="140"/>
      <c r="H89" s="140"/>
      <c r="I89" s="140"/>
      <c r="J89" s="140"/>
      <c r="K89" s="140"/>
      <c r="L89" s="140"/>
      <c r="M89" s="140"/>
      <c r="N89" s="87"/>
    </row>
    <row r="90" spans="2:16" x14ac:dyDescent="0.2">
      <c r="B90" s="83"/>
      <c r="C90" s="130"/>
      <c r="D90" s="141"/>
      <c r="E90" s="141"/>
      <c r="F90" s="132"/>
      <c r="G90" s="140"/>
      <c r="H90" s="140"/>
      <c r="I90" s="140"/>
      <c r="J90" s="140"/>
      <c r="K90" s="140"/>
      <c r="L90" s="140"/>
      <c r="M90" s="140"/>
      <c r="N90" s="87"/>
    </row>
    <row r="91" spans="2:16" x14ac:dyDescent="0.2">
      <c r="B91" s="83"/>
      <c r="C91" s="130"/>
      <c r="D91" s="170" t="s">
        <v>255</v>
      </c>
      <c r="E91" s="141"/>
      <c r="F91" s="132"/>
      <c r="G91" s="140"/>
      <c r="H91" s="140"/>
      <c r="I91" s="140"/>
      <c r="J91" s="140"/>
      <c r="K91" s="140"/>
      <c r="L91" s="140"/>
      <c r="M91" s="140"/>
      <c r="N91" s="87"/>
      <c r="P91" s="612"/>
    </row>
    <row r="92" spans="2:16" x14ac:dyDescent="0.2">
      <c r="B92" s="83"/>
      <c r="C92" s="130"/>
      <c r="D92" s="131" t="s">
        <v>187</v>
      </c>
      <c r="E92" s="131"/>
      <c r="F92" s="132"/>
      <c r="G92" s="358">
        <f>G24*(tabpers!M$29+tabpers!M$30*G18)</f>
        <v>0</v>
      </c>
      <c r="H92" s="358">
        <f>H24*(tabpers!N$29+tabpers!N$30*H18)</f>
        <v>0</v>
      </c>
      <c r="I92" s="358">
        <f>I24*(tabpers!O$29+tabpers!O$30*I18)</f>
        <v>0</v>
      </c>
      <c r="J92" s="358">
        <f>J24*(tabpers!P$29+tabpers!P$30*J18)</f>
        <v>0</v>
      </c>
      <c r="K92" s="358">
        <f>K24*(tabpers!Q$29+tabpers!Q$30*K18)</f>
        <v>0</v>
      </c>
      <c r="L92" s="358">
        <f>L24*(tabpers!R$29+tabpers!R$30*L18)</f>
        <v>0</v>
      </c>
      <c r="M92" s="358">
        <f>M24*(tabpers!S$29+tabpers!S$30*M18)</f>
        <v>0</v>
      </c>
      <c r="N92" s="87"/>
      <c r="P92" s="285"/>
    </row>
    <row r="93" spans="2:16" x14ac:dyDescent="0.2">
      <c r="B93" s="83"/>
      <c r="C93" s="130"/>
      <c r="D93" s="131" t="s">
        <v>186</v>
      </c>
      <c r="E93" s="131"/>
      <c r="F93" s="132"/>
      <c r="G93" s="358">
        <f>G25*(tabpers!M$31+tabpers!M$32*G18)</f>
        <v>0</v>
      </c>
      <c r="H93" s="358">
        <f>H25*(tabpers!N$31+tabpers!N$32*H18)</f>
        <v>0</v>
      </c>
      <c r="I93" s="358">
        <f>I25*(tabpers!O$31+tabpers!O$32*I18)</f>
        <v>0</v>
      </c>
      <c r="J93" s="358">
        <f>J25*(tabpers!P$31+tabpers!P$32*J18)</f>
        <v>0</v>
      </c>
      <c r="K93" s="358">
        <f>K25*(tabpers!Q$31+tabpers!Q$32*K18)</f>
        <v>0</v>
      </c>
      <c r="L93" s="358">
        <f>L25*(tabpers!R$31+tabpers!R$32*L18)</f>
        <v>0</v>
      </c>
      <c r="M93" s="358">
        <f>M25*(tabpers!S$31+tabpers!S$32*M18)</f>
        <v>0</v>
      </c>
      <c r="N93" s="87"/>
      <c r="P93" s="285"/>
    </row>
    <row r="94" spans="2:16" x14ac:dyDescent="0.2">
      <c r="B94" s="83"/>
      <c r="C94" s="163"/>
      <c r="D94" s="131" t="s">
        <v>258</v>
      </c>
      <c r="E94" s="131"/>
      <c r="F94" s="164"/>
      <c r="G94" s="358">
        <f>G30*(tabpers!M$33+tabpers!M$34*G18)</f>
        <v>0</v>
      </c>
      <c r="H94" s="358">
        <f>H30*(tabpers!N$33+tabpers!N$34*H18)</f>
        <v>0</v>
      </c>
      <c r="I94" s="358">
        <f>I30*(tabpers!O$33+tabpers!O$34*I18)</f>
        <v>0</v>
      </c>
      <c r="J94" s="358">
        <f>J30*(tabpers!P$33+tabpers!P$34*J18)</f>
        <v>0</v>
      </c>
      <c r="K94" s="358">
        <f>K30*(tabpers!Q$33+tabpers!Q$34*K18)</f>
        <v>0</v>
      </c>
      <c r="L94" s="358">
        <f>L30*(tabpers!R$33+tabpers!R$34*L18)</f>
        <v>0</v>
      </c>
      <c r="M94" s="358">
        <f>M30*(tabpers!S$33+tabpers!S$34*M18)</f>
        <v>0</v>
      </c>
      <c r="N94" s="87"/>
    </row>
    <row r="95" spans="2:16" x14ac:dyDescent="0.2">
      <c r="B95" s="83"/>
      <c r="C95" s="163"/>
      <c r="D95" s="131" t="s">
        <v>209</v>
      </c>
      <c r="E95" s="131"/>
      <c r="F95" s="154"/>
      <c r="G95" s="358">
        <f>IF(G26=0,0,IF(G79=0,IF(G34="ja",G35*tabpers!M45,0),IF(G51="ja",G52*tabpers!M45)+IF(G62="ja",G63*tabpers!M45)))</f>
        <v>0</v>
      </c>
      <c r="H95" s="358">
        <f>IF(H26=0,0,IF(H79=0,IF(H34="ja",H35*tabpers!N45,0),IF(H51="ja",H52*tabpers!N45)+IF(H62="ja",H63*tabpers!N45)))</f>
        <v>0</v>
      </c>
      <c r="I95" s="358">
        <f>IF(I26=0,0,IF(I79=0,IF(I34="ja",I35*tabpers!O45,0),IF(I51="ja",I52*tabpers!O45)+IF(I62="ja",I63*tabpers!O45)))</f>
        <v>0</v>
      </c>
      <c r="J95" s="358">
        <f>IF(J26=0,0,IF(J79=0,IF(J34="ja",J35*tabpers!P45,0),IF(J51="ja",J52*tabpers!P45)+IF(J62="ja",J63*tabpers!P45)))</f>
        <v>0</v>
      </c>
      <c r="K95" s="358">
        <f>IF(K26=0,0,IF(K79=0,IF(K34="ja",K35*tabpers!Q45,0),IF(K51="ja",K52*tabpers!Q45)+IF(K62="ja",K63*tabpers!Q45)))</f>
        <v>0</v>
      </c>
      <c r="L95" s="358">
        <f>IF(L26=0,0,IF(L79=0,IF(L34="ja",L35*tabpers!R45,0),IF(L51="ja",L52*tabpers!R45)+IF(L62="ja",L63*tabpers!R45)))</f>
        <v>0</v>
      </c>
      <c r="M95" s="358">
        <f>IF(M26=0,0,IF(M79=0,IF(M34="ja",M35*tabpers!S45,0),IF(M51="ja",M52*tabpers!S45)+IF(M62="ja",M63*tabpers!S45)))</f>
        <v>0</v>
      </c>
      <c r="N95" s="87"/>
    </row>
    <row r="96" spans="2:16" x14ac:dyDescent="0.2">
      <c r="B96" s="83"/>
      <c r="C96" s="130"/>
      <c r="D96" s="131" t="s">
        <v>185</v>
      </c>
      <c r="E96" s="131"/>
      <c r="F96" s="131"/>
      <c r="G96" s="358">
        <f>IF(G26=0,0,IF(G26&lt;tabpers!M$41,tabpers!M26,tabpers!M27))</f>
        <v>0</v>
      </c>
      <c r="H96" s="358">
        <f>IF(H26=0,0,IF(H26&lt;tabpers!N$41,tabpers!N26,tabpers!N27))</f>
        <v>0</v>
      </c>
      <c r="I96" s="358">
        <f>IF(I26=0,0,IF(I26&lt;tabpers!O$41,tabpers!O26,tabpers!O27))</f>
        <v>0</v>
      </c>
      <c r="J96" s="358">
        <f>IF(J26=0,0,IF(J26&lt;tabpers!P$41,tabpers!P26,tabpers!P27))</f>
        <v>0</v>
      </c>
      <c r="K96" s="358">
        <f>IF(K26=0,0,IF(K26&lt;tabpers!Q$41,tabpers!Q26,tabpers!Q27))</f>
        <v>0</v>
      </c>
      <c r="L96" s="358">
        <f>IF(L26=0,0,IF(L26&lt;tabpers!R$41,tabpers!R26,tabpers!R27))</f>
        <v>0</v>
      </c>
      <c r="M96" s="358">
        <f>IF(M26=0,0,IF(M26&lt;tabpers!S$41,tabpers!S26,tabpers!S27))</f>
        <v>0</v>
      </c>
      <c r="N96" s="87"/>
      <c r="P96" s="285"/>
    </row>
    <row r="97" spans="2:17" x14ac:dyDescent="0.2">
      <c r="B97" s="83"/>
      <c r="C97" s="147"/>
      <c r="D97" s="131" t="s">
        <v>46</v>
      </c>
      <c r="E97" s="131"/>
      <c r="F97" s="132"/>
      <c r="G97" s="358">
        <f>IF(G26=0,0,IF((tabpers!M$35+tabpers!M$36*G18-G26*(tabpers!M$37+tabpers!M$38*G18))&lt;0,0,tabpers!M$35+tabpers!M$36*G18-G26*(tabpers!M$37+tabpers!M$38*G18)))</f>
        <v>0</v>
      </c>
      <c r="H97" s="358">
        <f>IF(H26=0,0,IF((tabpers!N$35+tabpers!N$36*H18-H26*(tabpers!N$37+tabpers!N$38*H18))&lt;0,0,tabpers!N$35+tabpers!N$36*H18-H26*(tabpers!N$37+tabpers!N$38*H18)))</f>
        <v>0</v>
      </c>
      <c r="I97" s="358">
        <f>IF(I26=0,0,IF((tabpers!O$35+tabpers!O$36*I18-I26*(tabpers!O$37+tabpers!O$38*I18))&lt;0,0,tabpers!O$35+tabpers!O$36*I18-I26*(tabpers!O$37+tabpers!O$38*I18)))</f>
        <v>0</v>
      </c>
      <c r="J97" s="358">
        <f>IF(J26=0,0,IF((tabpers!P$35+tabpers!P$36*J18-J26*(tabpers!P$37+tabpers!P$38*J18))&lt;0,0,tabpers!P$35+tabpers!P$36*J18-J26*(tabpers!P$37+tabpers!P$38*J18)))</f>
        <v>0</v>
      </c>
      <c r="K97" s="358">
        <f>IF(K26=0,0,IF((tabpers!Q$35+tabpers!Q$36*K18-K26*(tabpers!Q$37+tabpers!Q$38*K18))&lt;0,0,tabpers!Q$35+tabpers!Q$36*K18-K26*(tabpers!Q$37+tabpers!Q$38*K18)))</f>
        <v>0</v>
      </c>
      <c r="L97" s="358">
        <f>IF(L26=0,0,IF((tabpers!R$35+tabpers!R$36*L18-L26*(tabpers!R$37+tabpers!R$38*L18))&lt;0,0,tabpers!R$35+tabpers!R$36*L18-L26*(tabpers!R$37+tabpers!R$38*L18)))</f>
        <v>0</v>
      </c>
      <c r="M97" s="358">
        <f>IF(M26=0,0,IF((tabpers!S$35+tabpers!S$36*M18-M26*(tabpers!S$37+tabpers!S$38*M18))&lt;0,0,tabpers!S$35+tabpers!S$36*M18-M26*(tabpers!S$37+tabpers!S$38*M18)))</f>
        <v>0</v>
      </c>
      <c r="N97" s="87"/>
    </row>
    <row r="98" spans="2:17" x14ac:dyDescent="0.2">
      <c r="B98" s="83"/>
      <c r="C98" s="147"/>
      <c r="D98" s="131" t="s">
        <v>189</v>
      </c>
      <c r="E98" s="131"/>
      <c r="F98" s="167"/>
      <c r="G98" s="358">
        <f t="shared" ref="G98:I98" si="36">IF(G46=0,0,ROUND(0.75*(SUM(G99:G100)-G97),2))</f>
        <v>0</v>
      </c>
      <c r="H98" s="358">
        <f t="shared" si="36"/>
        <v>0</v>
      </c>
      <c r="I98" s="358">
        <f t="shared" si="36"/>
        <v>0</v>
      </c>
      <c r="J98" s="358">
        <f t="shared" ref="J98:M98" si="37">IF(J46=0,0,ROUND(0.75*(SUM(J99:J100)-J97),2))</f>
        <v>0</v>
      </c>
      <c r="K98" s="358">
        <f t="shared" si="37"/>
        <v>0</v>
      </c>
      <c r="L98" s="358">
        <f t="shared" si="37"/>
        <v>0</v>
      </c>
      <c r="M98" s="358">
        <f t="shared" si="37"/>
        <v>0</v>
      </c>
      <c r="N98" s="87"/>
    </row>
    <row r="99" spans="2:17" ht="12.75" hidden="1" customHeight="1" x14ac:dyDescent="0.2">
      <c r="B99" s="83"/>
      <c r="C99" s="147"/>
      <c r="D99" s="168" t="s">
        <v>90</v>
      </c>
      <c r="E99" s="168"/>
      <c r="F99" s="167"/>
      <c r="G99" s="169">
        <f>IF(G46=0,0,IF((tabpers!M$35+tabpers!M$36*G18-G46*(tabpers!M$37+tabpers!M$38*G18))&lt;0,0,tabpers!M$35+tabpers!M$36*G18-G46*(tabpers!M$37+tabpers!M$38*G18)))</f>
        <v>0</v>
      </c>
      <c r="H99" s="169">
        <f>IF(H46=0,0,IF((tabpers!N$35+tabpers!N$36*H18-H46*(tabpers!N$37+tabpers!N$38*H18))&lt;0,0,tabpers!N$35+tabpers!N$36*H18-H46*(tabpers!N$37+tabpers!N$38*H18)))</f>
        <v>0</v>
      </c>
      <c r="I99" s="169">
        <f>IF(I46=0,0,IF((tabpers!O$35+tabpers!O$36*I18-I46*(tabpers!O$37+tabpers!O$38*I18))&lt;0,0,tabpers!O$35+tabpers!O$36*I18-I46*(tabpers!O$37+tabpers!O$38*I18)))</f>
        <v>0</v>
      </c>
      <c r="J99" s="169">
        <f>IF(J46=0,0,IF((tabpers!P$35+tabpers!P$36*J18-J46*(tabpers!P$37+tabpers!P$38*J18))&lt;0,0,tabpers!P$35+tabpers!P$36*J18-J46*(tabpers!P$37+tabpers!P$38*J18)))</f>
        <v>0</v>
      </c>
      <c r="K99" s="169">
        <f>IF(K46=0,0,IF((tabpers!Q$35+tabpers!Q$36*K18-K46*(tabpers!Q$37+tabpers!Q$38*K18))&lt;0,0,tabpers!Q$35+tabpers!Q$36*K18-K46*(tabpers!Q$37+tabpers!Q$38*K18)))</f>
        <v>0</v>
      </c>
      <c r="L99" s="169">
        <f>IF(L46=0,0,IF((tabpers!R$35+tabpers!R$36*L18-L46*(tabpers!R$37+tabpers!R$38*L18))&lt;0,0,tabpers!R$35+tabpers!R$36*L18-L46*(tabpers!R$37+tabpers!R$38*L18)))</f>
        <v>0</v>
      </c>
      <c r="M99" s="169">
        <f>IF(M46=0,0,IF((tabpers!S$35+tabpers!S$36*M18-M46*(tabpers!S$37+tabpers!S$38*M18))&lt;0,0,tabpers!S$35+tabpers!S$36*M18-M46*(tabpers!S$37+tabpers!S$38*M18)))</f>
        <v>0</v>
      </c>
      <c r="N99" s="87"/>
    </row>
    <row r="100" spans="2:17" ht="12.75" hidden="1" customHeight="1" x14ac:dyDescent="0.2">
      <c r="B100" s="83"/>
      <c r="C100" s="147"/>
      <c r="D100" s="168" t="s">
        <v>91</v>
      </c>
      <c r="E100" s="168"/>
      <c r="F100" s="167"/>
      <c r="G100" s="169">
        <f>IF(G57=0,0,IF((tabpers!M$35+tabpers!M$36*G18-G57*(tabpers!M$37+tabpers!M$38*G18))&lt;0,0,tabpers!M$35+tabpers!M$36*G18-G57*(tabpers!M$37+tabpers!M$38*G18)))</f>
        <v>0</v>
      </c>
      <c r="H100" s="169">
        <f>IF(H57=0,0,IF((tabpers!N$35+tabpers!N$36*H18-H57*(tabpers!N$37+tabpers!N$38*H18))&lt;0,0,tabpers!N$35+tabpers!N$36*H18-H57*(tabpers!N$37+tabpers!N$38*H18)))</f>
        <v>0</v>
      </c>
      <c r="I100" s="169">
        <f>IF(I57=0,0,IF((tabpers!O$35+tabpers!O$36*I18-I57*(tabpers!O$37+tabpers!O$38*I18))&lt;0,0,tabpers!O$35+tabpers!O$36*I18-I57*(tabpers!O$37+tabpers!O$38*I18)))</f>
        <v>0</v>
      </c>
      <c r="J100" s="169">
        <f>IF(J57=0,0,IF((tabpers!P$35+tabpers!P$36*J18-J57*(tabpers!P$37+tabpers!P$38*J18))&lt;0,0,tabpers!P$35+tabpers!P$36*J18-J57*(tabpers!P$37+tabpers!P$38*J18)))</f>
        <v>0</v>
      </c>
      <c r="K100" s="169">
        <f>IF(K57=0,0,IF((tabpers!Q$35+tabpers!Q$36*K18-K57*(tabpers!Q$37+tabpers!Q$38*K18))&lt;0,0,tabpers!Q$35+tabpers!Q$36*K18-K57*(tabpers!Q$37+tabpers!Q$38*K18)))</f>
        <v>0</v>
      </c>
      <c r="L100" s="169">
        <f>IF(L57=0,0,IF((tabpers!R$35+tabpers!R$36*L18-L57*(tabpers!R$37+tabpers!R$38*L18))&lt;0,0,tabpers!R$35+tabpers!R$36*L18-L57*(tabpers!R$37+tabpers!R$38*L18)))</f>
        <v>0</v>
      </c>
      <c r="M100" s="169">
        <f>IF(M57=0,0,IF((tabpers!S$35+tabpers!S$36*M18-M57*(tabpers!S$37+tabpers!S$38*M18))&lt;0,0,tabpers!S$35+tabpers!S$36*M18-M57*(tabpers!S$37+tabpers!S$38*M18)))</f>
        <v>0</v>
      </c>
      <c r="N100" s="87"/>
    </row>
    <row r="101" spans="2:17" ht="12.75" hidden="1" customHeight="1" x14ac:dyDescent="0.2">
      <c r="B101" s="83"/>
      <c r="C101" s="147"/>
      <c r="D101" s="131" t="s">
        <v>93</v>
      </c>
      <c r="E101" s="131"/>
      <c r="F101" s="167"/>
      <c r="G101" s="231"/>
      <c r="H101" s="231"/>
      <c r="I101" s="231"/>
      <c r="J101" s="231"/>
      <c r="K101" s="231"/>
      <c r="L101" s="231"/>
      <c r="M101" s="231"/>
      <c r="N101" s="87"/>
    </row>
    <row r="102" spans="2:17" x14ac:dyDescent="0.2">
      <c r="B102" s="83"/>
      <c r="C102" s="130"/>
      <c r="D102" s="170"/>
      <c r="E102" s="170"/>
      <c r="F102" s="148"/>
      <c r="G102" s="422">
        <f>IF(G26=0,0,IF((SUM(G92:G98)+G101)&lt;(tabpers!M$39+tabpers!M$40*G18),(tabpers!M$39+tabpers!M$40*G18),SUM(G92:G98)+G101))</f>
        <v>0</v>
      </c>
      <c r="H102" s="422">
        <f>IF(H26=0,0,IF((SUM(H92:H98)+H101)&lt;(tabpers!N$39+tabpers!N$40*H18),(tabpers!N$39+tabpers!N$40*H18),SUM(H92:H98)+H101))</f>
        <v>0</v>
      </c>
      <c r="I102" s="422">
        <f>IF(I26=0,0,IF((SUM(I92:I98)+I101)&lt;(tabpers!O$39+tabpers!O$40*I18),(tabpers!O$39+tabpers!O$40*I18),SUM(I92:I98)+I101))</f>
        <v>0</v>
      </c>
      <c r="J102" s="422">
        <f>IF(J26=0,0,IF((SUM(J92:J98)+J101)&lt;(tabpers!P$39+tabpers!P$40*J18),(tabpers!P$39+tabpers!P$40*J18),SUM(J92:J98)+J101))</f>
        <v>0</v>
      </c>
      <c r="K102" s="422">
        <f>IF(K26=0,0,IF((SUM(K92:K98)+K101)&lt;(tabpers!Q$39+tabpers!Q$40*K18),(tabpers!Q$39+tabpers!Q$40*K18),SUM(K92:K98)+K101))</f>
        <v>0</v>
      </c>
      <c r="L102" s="422">
        <f>IF(L26=0,0,IF((SUM(L92:L98)+L101)&lt;(tabpers!R$39+tabpers!R$40*L18),(tabpers!R$39+tabpers!R$40*L18),SUM(L92:L98)+L101))</f>
        <v>0</v>
      </c>
      <c r="M102" s="422">
        <f>IF(M26=0,0,IF((SUM(M92:M98)+M101)&lt;(tabpers!S$39+tabpers!S$40*M18),(tabpers!S$39+tabpers!S$40*M18),SUM(M92:M98)+M101))</f>
        <v>0</v>
      </c>
      <c r="N102" s="87"/>
      <c r="P102" s="285">
        <f>H102-G102</f>
        <v>0</v>
      </c>
      <c r="Q102" s="285" t="e">
        <f>P102/$H$26</f>
        <v>#DIV/0!</v>
      </c>
    </row>
    <row r="103" spans="2:17" x14ac:dyDescent="0.2">
      <c r="B103" s="83"/>
      <c r="C103" s="171"/>
      <c r="D103" s="170" t="s">
        <v>257</v>
      </c>
      <c r="E103" s="170"/>
      <c r="F103" s="144"/>
      <c r="G103" s="134"/>
      <c r="H103" s="134"/>
      <c r="I103" s="134"/>
      <c r="J103" s="134"/>
      <c r="K103" s="134"/>
      <c r="L103" s="134"/>
      <c r="M103" s="134"/>
      <c r="N103" s="87"/>
    </row>
    <row r="104" spans="2:17" x14ac:dyDescent="0.2">
      <c r="B104" s="83"/>
      <c r="C104" s="171"/>
      <c r="D104" s="131" t="s">
        <v>45</v>
      </c>
      <c r="E104" s="131"/>
      <c r="F104" s="144"/>
      <c r="G104" s="358">
        <f>IF(G26=0,0,tabpers!M$52)</f>
        <v>0</v>
      </c>
      <c r="H104" s="358">
        <f>IF(H26=0,0,tabpers!N$52)</f>
        <v>0</v>
      </c>
      <c r="I104" s="358">
        <f>IF(I26=0,0,tabpers!O$52)</f>
        <v>0</v>
      </c>
      <c r="J104" s="358">
        <f>IF(J26=0,0,tabpers!P$52)</f>
        <v>0</v>
      </c>
      <c r="K104" s="358">
        <f>IF(K26=0,0,tabpers!Q$52)</f>
        <v>0</v>
      </c>
      <c r="L104" s="358">
        <f>IF(L26=0,0,tabpers!R$52)</f>
        <v>0</v>
      </c>
      <c r="M104" s="358">
        <f>IF(M26=0,0,tabpers!S$52)</f>
        <v>0</v>
      </c>
      <c r="N104" s="87"/>
    </row>
    <row r="105" spans="2:17" x14ac:dyDescent="0.2">
      <c r="B105" s="83"/>
      <c r="C105" s="171"/>
      <c r="D105" s="131" t="s">
        <v>99</v>
      </c>
      <c r="E105" s="131"/>
      <c r="F105" s="144"/>
      <c r="G105" s="358">
        <f>IF(G26=0,0,IF(G26&lt;=194,tabpers!M$53,0))</f>
        <v>0</v>
      </c>
      <c r="H105" s="358">
        <f>IF(H26=0,0,IF(H26&lt;=194,tabpers!N$53,0))</f>
        <v>0</v>
      </c>
      <c r="I105" s="358">
        <f>IF(I26=0,0,IF(I26&lt;=194,tabpers!O$53,0))</f>
        <v>0</v>
      </c>
      <c r="J105" s="358">
        <f>IF(J26=0,0,IF(J26&lt;=194,tabpers!P$53,0))</f>
        <v>0</v>
      </c>
      <c r="K105" s="358">
        <f>IF(K26=0,0,IF(K26&lt;=194,tabpers!Q$53,0))</f>
        <v>0</v>
      </c>
      <c r="L105" s="358">
        <f>IF(L26=0,0,IF(L26&lt;=194,tabpers!R$53,0))</f>
        <v>0</v>
      </c>
      <c r="M105" s="358">
        <f>IF(M26=0,0,IF(M26&lt;=194,tabpers!S$53,0))</f>
        <v>0</v>
      </c>
      <c r="N105" s="87"/>
    </row>
    <row r="106" spans="2:17" x14ac:dyDescent="0.2">
      <c r="B106" s="83"/>
      <c r="C106" s="130"/>
      <c r="D106" s="131" t="s">
        <v>47</v>
      </c>
      <c r="E106" s="131"/>
      <c r="F106" s="131"/>
      <c r="G106" s="433">
        <f>G26*tabpers!M$54</f>
        <v>0</v>
      </c>
      <c r="H106" s="433">
        <f>H26*tabpers!N$54</f>
        <v>0</v>
      </c>
      <c r="I106" s="433">
        <f>I26*tabpers!O$54</f>
        <v>0</v>
      </c>
      <c r="J106" s="433">
        <f>J26*tabpers!P$54</f>
        <v>0</v>
      </c>
      <c r="K106" s="433">
        <f>K26*tabpers!Q$54</f>
        <v>0</v>
      </c>
      <c r="L106" s="433">
        <f>L26*tabpers!R$54</f>
        <v>0</v>
      </c>
      <c r="M106" s="433">
        <f>M26*tabpers!S$54</f>
        <v>0</v>
      </c>
      <c r="N106" s="87"/>
    </row>
    <row r="107" spans="2:17" x14ac:dyDescent="0.2">
      <c r="B107" s="83"/>
      <c r="C107" s="130"/>
      <c r="D107" s="172" t="s">
        <v>6</v>
      </c>
      <c r="E107" s="172"/>
      <c r="F107" s="172"/>
      <c r="G107" s="433">
        <f>G30*tabpers!M$55</f>
        <v>0</v>
      </c>
      <c r="H107" s="433">
        <f>H30*tabpers!N$55</f>
        <v>0</v>
      </c>
      <c r="I107" s="433">
        <f>I30*tabpers!O$55</f>
        <v>0</v>
      </c>
      <c r="J107" s="433">
        <f>J30*tabpers!P$55</f>
        <v>0</v>
      </c>
      <c r="K107" s="433">
        <f>K30*tabpers!Q$55</f>
        <v>0</v>
      </c>
      <c r="L107" s="433">
        <f>L30*tabpers!R$55</f>
        <v>0</v>
      </c>
      <c r="M107" s="433">
        <f>M30*tabpers!S$55</f>
        <v>0</v>
      </c>
      <c r="N107" s="87"/>
    </row>
    <row r="108" spans="2:17" x14ac:dyDescent="0.2">
      <c r="B108" s="83"/>
      <c r="C108" s="130"/>
      <c r="D108" s="131" t="s">
        <v>31</v>
      </c>
      <c r="E108" s="131"/>
      <c r="F108" s="132"/>
      <c r="G108" s="433">
        <f>IF(G26=0,0,IF((tabpers!M$56-tabpers!M$57*G26)&lt;0,0,tabpers!M$56-tabpers!M$57*G26))</f>
        <v>0</v>
      </c>
      <c r="H108" s="433">
        <f>IF(H26=0,0,IF((tabpers!N$56-tabpers!N$57*H26)&lt;0,0,tabpers!N$56-tabpers!N$57*H26))</f>
        <v>0</v>
      </c>
      <c r="I108" s="433">
        <f>IF(I26=0,0,IF((tabpers!O$56-tabpers!O$57*I26)&lt;0,0,tabpers!O$56-tabpers!O$57*I26))</f>
        <v>0</v>
      </c>
      <c r="J108" s="433">
        <f>IF(J26=0,0,IF((tabpers!P$56-tabpers!P$57*J26)&lt;0,0,tabpers!P$56-tabpers!P$57*J26))</f>
        <v>0</v>
      </c>
      <c r="K108" s="433">
        <f>IF(K26=0,0,IF((tabpers!Q$56-tabpers!Q$57*K26)&lt;0,0,tabpers!Q$56-tabpers!Q$57*K26))</f>
        <v>0</v>
      </c>
      <c r="L108" s="433">
        <f>IF(L26=0,0,IF((tabpers!R$56-tabpers!R$57*L26)&lt;0,0,tabpers!R$56-tabpers!R$57*L26))</f>
        <v>0</v>
      </c>
      <c r="M108" s="433">
        <f>IF(M26=0,0,IF((tabpers!S$56-tabpers!S$57*M26)&lt;0,0,tabpers!S$56-tabpers!S$57*M26))</f>
        <v>0</v>
      </c>
      <c r="N108" s="87"/>
    </row>
    <row r="109" spans="2:17" x14ac:dyDescent="0.2">
      <c r="B109" s="83"/>
      <c r="C109" s="130"/>
      <c r="D109" s="170"/>
      <c r="E109" s="170"/>
      <c r="F109" s="141"/>
      <c r="G109" s="422">
        <f t="shared" ref="G109:M109" si="38">SUM(G104:G108)</f>
        <v>0</v>
      </c>
      <c r="H109" s="422">
        <f t="shared" si="38"/>
        <v>0</v>
      </c>
      <c r="I109" s="422">
        <f t="shared" si="38"/>
        <v>0</v>
      </c>
      <c r="J109" s="422">
        <f t="shared" si="38"/>
        <v>0</v>
      </c>
      <c r="K109" s="422">
        <f t="shared" si="38"/>
        <v>0</v>
      </c>
      <c r="L109" s="422">
        <f t="shared" si="38"/>
        <v>0</v>
      </c>
      <c r="M109" s="422">
        <f t="shared" si="38"/>
        <v>0</v>
      </c>
      <c r="N109" s="87"/>
      <c r="P109" s="285">
        <f>H109-G109</f>
        <v>0</v>
      </c>
      <c r="Q109" s="285" t="e">
        <f>P109/$H$26</f>
        <v>#DIV/0!</v>
      </c>
    </row>
    <row r="110" spans="2:17" x14ac:dyDescent="0.2">
      <c r="B110" s="83"/>
      <c r="C110" s="174"/>
      <c r="D110" s="170" t="s">
        <v>256</v>
      </c>
      <c r="E110" s="141"/>
      <c r="F110" s="402"/>
      <c r="G110" s="136"/>
      <c r="H110" s="136"/>
      <c r="I110" s="136"/>
      <c r="J110" s="136"/>
      <c r="K110" s="136"/>
      <c r="L110" s="136"/>
      <c r="M110" s="136"/>
      <c r="N110" s="87"/>
      <c r="P110" s="285"/>
      <c r="Q110" s="285"/>
    </row>
    <row r="111" spans="2:17" x14ac:dyDescent="0.2">
      <c r="B111" s="83"/>
      <c r="C111" s="174"/>
      <c r="D111" s="131" t="s">
        <v>203</v>
      </c>
      <c r="E111" s="131"/>
      <c r="F111" s="402"/>
      <c r="G111" s="434">
        <f>IF(G26=0,0,IF(G46=0,(VLOOKUP(G69,tabmat!$H$115:$I$164,2,FALSE)),(VLOOKUP(G71,tabmat!$H$115:$I$164,2,FALSE)+(VLOOKUP(G72,tabmat!$H$115:$I$164,2,FALSE)))))</f>
        <v>0</v>
      </c>
      <c r="H111" s="434">
        <f>IF(H26=0,0,IF(H46=0,(VLOOKUP(H69,tabmat!$H$58:$I$107,2,FALSE)),(VLOOKUP(H71,tabmat!$H$58:$I$107,2,FALSE)+(VLOOKUP(H72,tabmat!$H$58:$I$107,2,FALSE)))))</f>
        <v>0</v>
      </c>
      <c r="I111" s="434">
        <f>IF(I26=0,0,IF(I46=0,(VLOOKUP(I69,tabmat!$H$4:$I$53,2,FALSE)),(VLOOKUP(I71,tabmat!$H$4:$I$53,2,FALSE)+(VLOOKUP(I72,tabmat!$H$4:$I$53,2,FALSE)))))</f>
        <v>0</v>
      </c>
      <c r="J111" s="434">
        <f>IF(J26=0,0,IF(J46=0,(VLOOKUP(J69,tabmat!$H$4:$I$53,2,FALSE)),(VLOOKUP(J71,tabmat!$H$4:$I$53,2,FALSE)+(VLOOKUP(J72,tabmat!$H$4:$I$53,2,FALSE)))))</f>
        <v>0</v>
      </c>
      <c r="K111" s="434">
        <f>IF(K26=0,0,IF(K46=0,(VLOOKUP(K69,tabmat!$H$4:$I$53,2,FALSE)),(VLOOKUP(K71,tabmat!$H$4:$I$53,2,FALSE)+(VLOOKUP(K72,tabmat!$H$4:$I$53,2,FALSE)))))</f>
        <v>0</v>
      </c>
      <c r="L111" s="434">
        <f>IF(L26=0,0,IF(L46=0,(VLOOKUP(L69,tabmat!$H$4:$I$53,2,FALSE)),(VLOOKUP(L71,tabmat!$H$4:$I$53,2,FALSE)+(VLOOKUP(L72,tabmat!$H$4:$I$53,2,FALSE)))))</f>
        <v>0</v>
      </c>
      <c r="M111" s="434">
        <f>IF(M26=0,0,IF(M46=0,(VLOOKUP(M69,tabmat!$H$4:$I$53,2,FALSE)),(VLOOKUP(M71,tabmat!$H$4:$I$53,2,FALSE)+(VLOOKUP(M72,tabmat!$H$4:$I$53,2,FALSE)))))</f>
        <v>0</v>
      </c>
      <c r="N111" s="87"/>
      <c r="P111" s="285"/>
      <c r="Q111" s="285"/>
    </row>
    <row r="112" spans="2:17" x14ac:dyDescent="0.2">
      <c r="B112" s="83"/>
      <c r="C112" s="174"/>
      <c r="D112" s="131" t="s">
        <v>204</v>
      </c>
      <c r="E112" s="131"/>
      <c r="F112" s="132"/>
      <c r="G112" s="434">
        <f>IF(G$32=0,0,(tabmat!$C144+(tabmat!$D144*G$32)))</f>
        <v>0</v>
      </c>
      <c r="H112" s="434">
        <f>IF(H$32=0,0,(tabmat!$C87+(tabmat!$D87*H$32)))</f>
        <v>0</v>
      </c>
      <c r="I112" s="434">
        <f>IF(I$32=0,0,(tabmat!$C33+(tabmat!$D33*I$32)))</f>
        <v>0</v>
      </c>
      <c r="J112" s="434">
        <f>IF(J$32=0,0,(tabmat!$C33+(tabmat!$D33*J$32)))</f>
        <v>0</v>
      </c>
      <c r="K112" s="434">
        <f>IF(K$32=0,0,(tabmat!$C33+(tabmat!$D33*K$32)))</f>
        <v>0</v>
      </c>
      <c r="L112" s="434">
        <f>IF(L$32=0,0,(tabmat!$C33+(tabmat!$D33*L$32)))</f>
        <v>0</v>
      </c>
      <c r="M112" s="434">
        <f>IF(M$32=0,0,(tabmat!$C33+(tabmat!$D33*M$32)))</f>
        <v>0</v>
      </c>
      <c r="N112" s="87"/>
      <c r="P112" s="285"/>
      <c r="Q112" s="285"/>
    </row>
    <row r="113" spans="2:17" x14ac:dyDescent="0.2">
      <c r="B113" s="83"/>
      <c r="C113" s="174"/>
      <c r="D113" s="131" t="s">
        <v>88</v>
      </c>
      <c r="E113" s="131"/>
      <c r="F113" s="164"/>
      <c r="G113" s="434">
        <f>IF(G$36=0,0,(tabmat!$C146+(tabmat!$D146*FLOOR(+G36*1.03,1))))</f>
        <v>0</v>
      </c>
      <c r="H113" s="434">
        <f>IF(H$36=0,0,(tabmat!$C89+(tabmat!$D89*FLOOR(+H36*1.03,1))))</f>
        <v>0</v>
      </c>
      <c r="I113" s="434">
        <f>IF(I$36=0,0,(tabmat!$C35+(tabmat!$D35*FLOOR(+I36*1.03,1))))</f>
        <v>0</v>
      </c>
      <c r="J113" s="434">
        <f>IF(J$36=0,0,(tabmat!$C35+(tabmat!$D35*FLOOR(+J36*1.03,1))))</f>
        <v>0</v>
      </c>
      <c r="K113" s="434">
        <f>IF(K$36=0,0,(tabmat!$C35+(tabmat!$D35*FLOOR(+K36*1.03,1))))</f>
        <v>0</v>
      </c>
      <c r="L113" s="434">
        <f>IF(L$36=0,0,(tabmat!$C35+(tabmat!$D35*FLOOR(+L36*1.03,1))))</f>
        <v>0</v>
      </c>
      <c r="M113" s="434">
        <f>IF(M$36=0,0,(tabmat!$C35+(tabmat!$D35*FLOOR(+M36*1.03,1))))</f>
        <v>0</v>
      </c>
      <c r="N113" s="87"/>
      <c r="P113" s="285"/>
      <c r="Q113" s="285"/>
    </row>
    <row r="114" spans="2:17" x14ac:dyDescent="0.2">
      <c r="B114" s="83"/>
      <c r="C114" s="174"/>
      <c r="D114" s="141"/>
      <c r="E114" s="141"/>
      <c r="F114" s="148"/>
      <c r="G114" s="423">
        <f t="shared" ref="G114:M114" si="39">G111+G112+G113</f>
        <v>0</v>
      </c>
      <c r="H114" s="423">
        <f t="shared" si="39"/>
        <v>0</v>
      </c>
      <c r="I114" s="423">
        <f t="shared" si="39"/>
        <v>0</v>
      </c>
      <c r="J114" s="423">
        <f t="shared" si="39"/>
        <v>0</v>
      </c>
      <c r="K114" s="423">
        <f t="shared" si="39"/>
        <v>0</v>
      </c>
      <c r="L114" s="423">
        <f t="shared" si="39"/>
        <v>0</v>
      </c>
      <c r="M114" s="423">
        <f t="shared" si="39"/>
        <v>0</v>
      </c>
      <c r="N114" s="87"/>
      <c r="P114" s="285"/>
      <c r="Q114" s="285"/>
    </row>
    <row r="115" spans="2:17" x14ac:dyDescent="0.2">
      <c r="B115" s="83"/>
      <c r="C115" s="174"/>
      <c r="D115" s="170" t="s">
        <v>218</v>
      </c>
      <c r="E115" s="141"/>
      <c r="F115" s="175"/>
      <c r="G115" s="136"/>
      <c r="H115" s="136"/>
      <c r="I115" s="136"/>
      <c r="J115" s="136"/>
      <c r="K115" s="136"/>
      <c r="L115" s="136"/>
      <c r="M115" s="136"/>
      <c r="N115" s="87"/>
      <c r="P115" s="285"/>
      <c r="Q115" s="285"/>
    </row>
    <row r="116" spans="2:17" x14ac:dyDescent="0.2">
      <c r="B116" s="83"/>
      <c r="C116" s="163"/>
      <c r="D116" s="131" t="s">
        <v>260</v>
      </c>
      <c r="E116" s="131"/>
      <c r="F116" s="164"/>
      <c r="G116" s="302">
        <f>IF(G26=0,0,((G26*tabpers!M68)+tabpers!M69))</f>
        <v>0</v>
      </c>
      <c r="H116" s="302">
        <f>IF(H26=0,0,((H26*tabpers!N68)+tabpers!N69))</f>
        <v>0</v>
      </c>
      <c r="I116" s="302">
        <f>IF(I26=0,0,((I26*tabpers!O68)+tabpers!O69))</f>
        <v>0</v>
      </c>
      <c r="J116" s="302">
        <f>IF(J26=0,0,((J26*tabpers!P68)+tabpers!P69))</f>
        <v>0</v>
      </c>
      <c r="K116" s="302">
        <f>IF(K26=0,0,((K26*tabpers!Q68)+tabpers!Q69))</f>
        <v>0</v>
      </c>
      <c r="L116" s="302">
        <f>IF(L26=0,0,((L26*tabpers!R68)+tabpers!R69))</f>
        <v>0</v>
      </c>
      <c r="M116" s="302">
        <f>IF(M26=0,0,((M26*tabpers!S68)+tabpers!S69))</f>
        <v>0</v>
      </c>
      <c r="N116" s="87"/>
      <c r="P116" s="285">
        <f>H116-G116</f>
        <v>0</v>
      </c>
      <c r="Q116" s="285" t="e">
        <f>P116/$H$26</f>
        <v>#DIV/0!</v>
      </c>
    </row>
    <row r="117" spans="2:17" x14ac:dyDescent="0.2">
      <c r="B117" s="83"/>
      <c r="C117" s="174"/>
      <c r="D117" s="132" t="s">
        <v>259</v>
      </c>
      <c r="E117" s="176"/>
      <c r="F117" s="402"/>
      <c r="G117" s="207">
        <v>0</v>
      </c>
      <c r="H117" s="207">
        <f t="shared" ref="H117:M117" si="40">G117</f>
        <v>0</v>
      </c>
      <c r="I117" s="207">
        <f t="shared" si="40"/>
        <v>0</v>
      </c>
      <c r="J117" s="207">
        <f t="shared" si="40"/>
        <v>0</v>
      </c>
      <c r="K117" s="207">
        <f t="shared" si="40"/>
        <v>0</v>
      </c>
      <c r="L117" s="207">
        <f t="shared" si="40"/>
        <v>0</v>
      </c>
      <c r="M117" s="207">
        <f t="shared" si="40"/>
        <v>0</v>
      </c>
      <c r="N117" s="87"/>
      <c r="P117" s="285"/>
      <c r="Q117" s="285"/>
    </row>
    <row r="118" spans="2:17" x14ac:dyDescent="0.2">
      <c r="B118" s="83"/>
      <c r="C118" s="174"/>
      <c r="D118" s="736"/>
      <c r="E118" s="737"/>
      <c r="F118" s="402"/>
      <c r="G118" s="207">
        <v>0</v>
      </c>
      <c r="H118" s="207">
        <f t="shared" ref="H118:M120" si="41">G118</f>
        <v>0</v>
      </c>
      <c r="I118" s="207">
        <f t="shared" si="41"/>
        <v>0</v>
      </c>
      <c r="J118" s="207">
        <f t="shared" si="41"/>
        <v>0</v>
      </c>
      <c r="K118" s="207">
        <f t="shared" si="41"/>
        <v>0</v>
      </c>
      <c r="L118" s="207">
        <f t="shared" si="41"/>
        <v>0</v>
      </c>
      <c r="M118" s="207">
        <f t="shared" si="41"/>
        <v>0</v>
      </c>
      <c r="N118" s="87"/>
      <c r="P118" s="285"/>
      <c r="Q118" s="285"/>
    </row>
    <row r="119" spans="2:17" x14ac:dyDescent="0.2">
      <c r="B119" s="83"/>
      <c r="C119" s="174"/>
      <c r="D119" s="736"/>
      <c r="E119" s="737"/>
      <c r="F119" s="402"/>
      <c r="G119" s="207">
        <v>0</v>
      </c>
      <c r="H119" s="207">
        <f t="shared" si="41"/>
        <v>0</v>
      </c>
      <c r="I119" s="207">
        <f t="shared" si="41"/>
        <v>0</v>
      </c>
      <c r="J119" s="207">
        <f t="shared" si="41"/>
        <v>0</v>
      </c>
      <c r="K119" s="207">
        <f t="shared" si="41"/>
        <v>0</v>
      </c>
      <c r="L119" s="207">
        <f t="shared" si="41"/>
        <v>0</v>
      </c>
      <c r="M119" s="207">
        <f t="shared" si="41"/>
        <v>0</v>
      </c>
      <c r="N119" s="87"/>
      <c r="P119" s="285"/>
      <c r="Q119" s="285"/>
    </row>
    <row r="120" spans="2:17" x14ac:dyDescent="0.2">
      <c r="B120" s="83"/>
      <c r="C120" s="174"/>
      <c r="D120" s="736"/>
      <c r="E120" s="737"/>
      <c r="F120" s="402"/>
      <c r="G120" s="207">
        <v>0</v>
      </c>
      <c r="H120" s="207">
        <f t="shared" si="41"/>
        <v>0</v>
      </c>
      <c r="I120" s="207">
        <f t="shared" si="41"/>
        <v>0</v>
      </c>
      <c r="J120" s="207">
        <f t="shared" si="41"/>
        <v>0</v>
      </c>
      <c r="K120" s="207">
        <f t="shared" si="41"/>
        <v>0</v>
      </c>
      <c r="L120" s="207">
        <f t="shared" si="41"/>
        <v>0</v>
      </c>
      <c r="M120" s="207">
        <f t="shared" si="41"/>
        <v>0</v>
      </c>
      <c r="N120" s="87"/>
      <c r="P120" s="285"/>
      <c r="Q120" s="285"/>
    </row>
    <row r="121" spans="2:17" x14ac:dyDescent="0.2">
      <c r="B121" s="83"/>
      <c r="C121" s="174"/>
      <c r="D121" s="131"/>
      <c r="E121" s="131"/>
      <c r="F121" s="402"/>
      <c r="G121" s="424">
        <f t="shared" ref="G121:M121" si="42">SUM(G116:G120)</f>
        <v>0</v>
      </c>
      <c r="H121" s="424">
        <f t="shared" si="42"/>
        <v>0</v>
      </c>
      <c r="I121" s="424">
        <f t="shared" si="42"/>
        <v>0</v>
      </c>
      <c r="J121" s="424">
        <f t="shared" si="42"/>
        <v>0</v>
      </c>
      <c r="K121" s="424">
        <f t="shared" si="42"/>
        <v>0</v>
      </c>
      <c r="L121" s="424">
        <f t="shared" si="42"/>
        <v>0</v>
      </c>
      <c r="M121" s="424">
        <f t="shared" si="42"/>
        <v>0</v>
      </c>
      <c r="N121" s="87"/>
      <c r="P121" s="285"/>
      <c r="Q121" s="285" t="e">
        <f>Q102+Q109+Q116</f>
        <v>#DIV/0!</v>
      </c>
    </row>
    <row r="122" spans="2:17" x14ac:dyDescent="0.2">
      <c r="B122" s="83"/>
      <c r="C122" s="174"/>
      <c r="D122" s="170" t="s">
        <v>219</v>
      </c>
      <c r="E122" s="141"/>
      <c r="F122" s="148"/>
      <c r="G122" s="403"/>
      <c r="H122" s="403"/>
      <c r="I122" s="403"/>
      <c r="J122" s="403"/>
      <c r="K122" s="403"/>
      <c r="L122" s="403"/>
      <c r="M122" s="403"/>
      <c r="N122" s="87"/>
      <c r="P122" s="285"/>
      <c r="Q122" s="285"/>
    </row>
    <row r="123" spans="2:17" x14ac:dyDescent="0.2">
      <c r="B123" s="83"/>
      <c r="C123" s="174"/>
      <c r="D123" s="144" t="s">
        <v>165</v>
      </c>
      <c r="E123" s="144"/>
      <c r="F123" s="175"/>
      <c r="G123" s="136"/>
      <c r="H123" s="136"/>
      <c r="I123" s="136"/>
      <c r="J123" s="136"/>
      <c r="K123" s="136"/>
      <c r="L123" s="136"/>
      <c r="M123" s="136"/>
      <c r="N123" s="87"/>
    </row>
    <row r="124" spans="2:17" x14ac:dyDescent="0.2">
      <c r="B124" s="83"/>
      <c r="C124" s="174"/>
      <c r="D124" s="736"/>
      <c r="E124" s="737"/>
      <c r="F124" s="175"/>
      <c r="G124" s="207">
        <v>0</v>
      </c>
      <c r="H124" s="207">
        <f t="shared" ref="H124:M128" si="43">G124</f>
        <v>0</v>
      </c>
      <c r="I124" s="207">
        <f t="shared" si="43"/>
        <v>0</v>
      </c>
      <c r="J124" s="207">
        <f t="shared" si="43"/>
        <v>0</v>
      </c>
      <c r="K124" s="207">
        <f t="shared" si="43"/>
        <v>0</v>
      </c>
      <c r="L124" s="207">
        <f t="shared" si="43"/>
        <v>0</v>
      </c>
      <c r="M124" s="207">
        <f t="shared" si="43"/>
        <v>0</v>
      </c>
      <c r="N124" s="87"/>
    </row>
    <row r="125" spans="2:17" x14ac:dyDescent="0.2">
      <c r="B125" s="83"/>
      <c r="C125" s="404"/>
      <c r="D125" s="736"/>
      <c r="E125" s="737"/>
      <c r="F125" s="405"/>
      <c r="G125" s="207">
        <v>0</v>
      </c>
      <c r="H125" s="207">
        <f t="shared" si="43"/>
        <v>0</v>
      </c>
      <c r="I125" s="207">
        <f t="shared" si="43"/>
        <v>0</v>
      </c>
      <c r="J125" s="207">
        <f t="shared" si="43"/>
        <v>0</v>
      </c>
      <c r="K125" s="207">
        <f t="shared" si="43"/>
        <v>0</v>
      </c>
      <c r="L125" s="207">
        <f t="shared" si="43"/>
        <v>0</v>
      </c>
      <c r="M125" s="207">
        <f t="shared" si="43"/>
        <v>0</v>
      </c>
      <c r="N125" s="87"/>
    </row>
    <row r="126" spans="2:17" x14ac:dyDescent="0.2">
      <c r="B126" s="83"/>
      <c r="C126" s="404"/>
      <c r="D126" s="736"/>
      <c r="E126" s="737"/>
      <c r="F126" s="405"/>
      <c r="G126" s="207">
        <v>0</v>
      </c>
      <c r="H126" s="207">
        <f t="shared" si="43"/>
        <v>0</v>
      </c>
      <c r="I126" s="207">
        <f t="shared" si="43"/>
        <v>0</v>
      </c>
      <c r="J126" s="207">
        <f t="shared" si="43"/>
        <v>0</v>
      </c>
      <c r="K126" s="207">
        <f t="shared" si="43"/>
        <v>0</v>
      </c>
      <c r="L126" s="207">
        <f t="shared" si="43"/>
        <v>0</v>
      </c>
      <c r="M126" s="207">
        <f t="shared" si="43"/>
        <v>0</v>
      </c>
      <c r="N126" s="87"/>
    </row>
    <row r="127" spans="2:17" x14ac:dyDescent="0.2">
      <c r="B127" s="83"/>
      <c r="C127" s="174"/>
      <c r="D127" s="736"/>
      <c r="E127" s="737"/>
      <c r="F127" s="175"/>
      <c r="G127" s="207">
        <v>0</v>
      </c>
      <c r="H127" s="207">
        <f t="shared" si="43"/>
        <v>0</v>
      </c>
      <c r="I127" s="207">
        <f t="shared" si="43"/>
        <v>0</v>
      </c>
      <c r="J127" s="207">
        <f t="shared" si="43"/>
        <v>0</v>
      </c>
      <c r="K127" s="207">
        <f t="shared" si="43"/>
        <v>0</v>
      </c>
      <c r="L127" s="207">
        <f t="shared" si="43"/>
        <v>0</v>
      </c>
      <c r="M127" s="207">
        <f t="shared" si="43"/>
        <v>0</v>
      </c>
      <c r="N127" s="87"/>
    </row>
    <row r="128" spans="2:17" x14ac:dyDescent="0.2">
      <c r="B128" s="83"/>
      <c r="C128" s="404"/>
      <c r="D128" s="736"/>
      <c r="E128" s="737"/>
      <c r="F128" s="405"/>
      <c r="G128" s="207">
        <v>0</v>
      </c>
      <c r="H128" s="207">
        <f t="shared" si="43"/>
        <v>0</v>
      </c>
      <c r="I128" s="207">
        <f t="shared" si="43"/>
        <v>0</v>
      </c>
      <c r="J128" s="207">
        <f t="shared" si="43"/>
        <v>0</v>
      </c>
      <c r="K128" s="207">
        <f t="shared" si="43"/>
        <v>0</v>
      </c>
      <c r="L128" s="207">
        <f t="shared" si="43"/>
        <v>0</v>
      </c>
      <c r="M128" s="207">
        <f t="shared" si="43"/>
        <v>0</v>
      </c>
      <c r="N128" s="87"/>
    </row>
    <row r="129" spans="2:14" x14ac:dyDescent="0.2">
      <c r="B129" s="83"/>
      <c r="C129" s="174"/>
      <c r="D129" s="131"/>
      <c r="E129" s="131"/>
      <c r="F129" s="175"/>
      <c r="G129" s="425">
        <f t="shared" ref="G129" si="44">SUM(G124:G128)</f>
        <v>0</v>
      </c>
      <c r="H129" s="425">
        <f t="shared" ref="H129:M129" si="45">SUM(H124:H128)</f>
        <v>0</v>
      </c>
      <c r="I129" s="425">
        <f t="shared" si="45"/>
        <v>0</v>
      </c>
      <c r="J129" s="425">
        <f t="shared" si="45"/>
        <v>0</v>
      </c>
      <c r="K129" s="425">
        <f t="shared" si="45"/>
        <v>0</v>
      </c>
      <c r="L129" s="425">
        <f t="shared" si="45"/>
        <v>0</v>
      </c>
      <c r="M129" s="425">
        <f t="shared" si="45"/>
        <v>0</v>
      </c>
      <c r="N129" s="87"/>
    </row>
    <row r="130" spans="2:14" x14ac:dyDescent="0.2">
      <c r="B130" s="83"/>
      <c r="C130" s="174"/>
      <c r="D130" s="144" t="s">
        <v>166</v>
      </c>
      <c r="E130" s="144"/>
      <c r="F130" s="406"/>
      <c r="G130" s="136"/>
      <c r="H130" s="136"/>
      <c r="I130" s="136"/>
      <c r="J130" s="136"/>
      <c r="K130" s="136"/>
      <c r="L130" s="136"/>
      <c r="M130" s="136"/>
      <c r="N130" s="87"/>
    </row>
    <row r="131" spans="2:14" x14ac:dyDescent="0.2">
      <c r="B131" s="83"/>
      <c r="C131" s="174"/>
      <c r="D131" s="736"/>
      <c r="E131" s="737"/>
      <c r="F131" s="407"/>
      <c r="G131" s="207">
        <v>0</v>
      </c>
      <c r="H131" s="207">
        <f t="shared" ref="H131:M135" si="46">G131</f>
        <v>0</v>
      </c>
      <c r="I131" s="207">
        <f t="shared" si="46"/>
        <v>0</v>
      </c>
      <c r="J131" s="207">
        <f t="shared" si="46"/>
        <v>0</v>
      </c>
      <c r="K131" s="207">
        <f t="shared" si="46"/>
        <v>0</v>
      </c>
      <c r="L131" s="207">
        <f t="shared" si="46"/>
        <v>0</v>
      </c>
      <c r="M131" s="207">
        <f t="shared" si="46"/>
        <v>0</v>
      </c>
      <c r="N131" s="87"/>
    </row>
    <row r="132" spans="2:14" x14ac:dyDescent="0.2">
      <c r="B132" s="83"/>
      <c r="C132" s="174"/>
      <c r="D132" s="736"/>
      <c r="E132" s="737"/>
      <c r="F132" s="406"/>
      <c r="G132" s="207">
        <v>0</v>
      </c>
      <c r="H132" s="207">
        <f t="shared" si="46"/>
        <v>0</v>
      </c>
      <c r="I132" s="207">
        <f t="shared" si="46"/>
        <v>0</v>
      </c>
      <c r="J132" s="207">
        <f t="shared" si="46"/>
        <v>0</v>
      </c>
      <c r="K132" s="207">
        <f t="shared" si="46"/>
        <v>0</v>
      </c>
      <c r="L132" s="207">
        <f t="shared" si="46"/>
        <v>0</v>
      </c>
      <c r="M132" s="207">
        <f t="shared" si="46"/>
        <v>0</v>
      </c>
      <c r="N132" s="87"/>
    </row>
    <row r="133" spans="2:14" x14ac:dyDescent="0.2">
      <c r="B133" s="83"/>
      <c r="C133" s="174"/>
      <c r="D133" s="736"/>
      <c r="E133" s="737"/>
      <c r="F133" s="407"/>
      <c r="G133" s="207">
        <v>0</v>
      </c>
      <c r="H133" s="207">
        <f t="shared" si="46"/>
        <v>0</v>
      </c>
      <c r="I133" s="207">
        <f t="shared" si="46"/>
        <v>0</v>
      </c>
      <c r="J133" s="207">
        <f t="shared" si="46"/>
        <v>0</v>
      </c>
      <c r="K133" s="207">
        <f t="shared" si="46"/>
        <v>0</v>
      </c>
      <c r="L133" s="207">
        <f t="shared" si="46"/>
        <v>0</v>
      </c>
      <c r="M133" s="207">
        <f t="shared" si="46"/>
        <v>0</v>
      </c>
      <c r="N133" s="87"/>
    </row>
    <row r="134" spans="2:14" x14ac:dyDescent="0.2">
      <c r="B134" s="83"/>
      <c r="C134" s="174"/>
      <c r="D134" s="736"/>
      <c r="E134" s="737"/>
      <c r="F134" s="407"/>
      <c r="G134" s="207">
        <v>0</v>
      </c>
      <c r="H134" s="207">
        <f t="shared" si="46"/>
        <v>0</v>
      </c>
      <c r="I134" s="207">
        <f t="shared" si="46"/>
        <v>0</v>
      </c>
      <c r="J134" s="207">
        <f t="shared" si="46"/>
        <v>0</v>
      </c>
      <c r="K134" s="207">
        <f t="shared" si="46"/>
        <v>0</v>
      </c>
      <c r="L134" s="207">
        <f t="shared" si="46"/>
        <v>0</v>
      </c>
      <c r="M134" s="207">
        <f t="shared" si="46"/>
        <v>0</v>
      </c>
      <c r="N134" s="87"/>
    </row>
    <row r="135" spans="2:14" x14ac:dyDescent="0.2">
      <c r="B135" s="83"/>
      <c r="C135" s="174"/>
      <c r="D135" s="736"/>
      <c r="E135" s="737"/>
      <c r="F135" s="407"/>
      <c r="G135" s="207">
        <v>0</v>
      </c>
      <c r="H135" s="207">
        <f t="shared" si="46"/>
        <v>0</v>
      </c>
      <c r="I135" s="207">
        <f t="shared" si="46"/>
        <v>0</v>
      </c>
      <c r="J135" s="207">
        <f t="shared" si="46"/>
        <v>0</v>
      </c>
      <c r="K135" s="207">
        <f t="shared" si="46"/>
        <v>0</v>
      </c>
      <c r="L135" s="207">
        <f t="shared" si="46"/>
        <v>0</v>
      </c>
      <c r="M135" s="207">
        <f t="shared" si="46"/>
        <v>0</v>
      </c>
      <c r="N135" s="87"/>
    </row>
    <row r="136" spans="2:14" x14ac:dyDescent="0.2">
      <c r="B136" s="83"/>
      <c r="C136" s="174"/>
      <c r="D136" s="178"/>
      <c r="E136" s="178"/>
      <c r="F136" s="179"/>
      <c r="G136" s="425">
        <f t="shared" ref="G136:M136" si="47">SUM(G131:G135)</f>
        <v>0</v>
      </c>
      <c r="H136" s="425">
        <f t="shared" si="47"/>
        <v>0</v>
      </c>
      <c r="I136" s="425">
        <f t="shared" si="47"/>
        <v>0</v>
      </c>
      <c r="J136" s="425">
        <f t="shared" si="47"/>
        <v>0</v>
      </c>
      <c r="K136" s="425">
        <f t="shared" si="47"/>
        <v>0</v>
      </c>
      <c r="L136" s="425">
        <f t="shared" si="47"/>
        <v>0</v>
      </c>
      <c r="M136" s="425">
        <f t="shared" si="47"/>
        <v>0</v>
      </c>
      <c r="N136" s="87"/>
    </row>
    <row r="137" spans="2:14" x14ac:dyDescent="0.2">
      <c r="B137" s="83"/>
      <c r="C137" s="174"/>
      <c r="D137" s="131"/>
      <c r="E137" s="131"/>
      <c r="F137" s="402"/>
      <c r="G137" s="132"/>
      <c r="H137" s="132"/>
      <c r="I137" s="132"/>
      <c r="J137" s="132"/>
      <c r="K137" s="132"/>
      <c r="L137" s="132"/>
      <c r="M137" s="132"/>
      <c r="N137" s="87"/>
    </row>
    <row r="138" spans="2:14" x14ac:dyDescent="0.2">
      <c r="B138" s="83"/>
      <c r="C138" s="174"/>
      <c r="D138" s="131" t="s">
        <v>167</v>
      </c>
      <c r="E138" s="144"/>
      <c r="F138" s="149"/>
      <c r="G138" s="422">
        <f t="shared" ref="G138:M138" si="48">G129-G136</f>
        <v>0</v>
      </c>
      <c r="H138" s="422">
        <f t="shared" si="48"/>
        <v>0</v>
      </c>
      <c r="I138" s="422">
        <f t="shared" si="48"/>
        <v>0</v>
      </c>
      <c r="J138" s="422">
        <f t="shared" si="48"/>
        <v>0</v>
      </c>
      <c r="K138" s="422">
        <f t="shared" si="48"/>
        <v>0</v>
      </c>
      <c r="L138" s="422">
        <f t="shared" si="48"/>
        <v>0</v>
      </c>
      <c r="M138" s="422">
        <f t="shared" si="48"/>
        <v>0</v>
      </c>
      <c r="N138" s="87"/>
    </row>
    <row r="139" spans="2:14" x14ac:dyDescent="0.2">
      <c r="B139" s="83"/>
      <c r="C139" s="174"/>
      <c r="D139" s="141"/>
      <c r="E139" s="141"/>
      <c r="F139" s="175"/>
      <c r="G139" s="136"/>
      <c r="H139" s="136"/>
      <c r="I139" s="136"/>
      <c r="J139" s="136"/>
      <c r="K139" s="136"/>
      <c r="L139" s="136"/>
      <c r="M139" s="136"/>
      <c r="N139" s="87"/>
    </row>
    <row r="140" spans="2:14" x14ac:dyDescent="0.2">
      <c r="B140" s="83"/>
      <c r="C140" s="174"/>
      <c r="D140" s="141" t="s">
        <v>168</v>
      </c>
      <c r="E140" s="141"/>
      <c r="F140" s="175"/>
      <c r="G140" s="426">
        <f t="shared" ref="G140:M140" si="49">G102+G109+G114+G121-G138</f>
        <v>0</v>
      </c>
      <c r="H140" s="426">
        <f t="shared" si="49"/>
        <v>0</v>
      </c>
      <c r="I140" s="426">
        <f t="shared" si="49"/>
        <v>0</v>
      </c>
      <c r="J140" s="426">
        <f t="shared" si="49"/>
        <v>0</v>
      </c>
      <c r="K140" s="426">
        <f t="shared" si="49"/>
        <v>0</v>
      </c>
      <c r="L140" s="426">
        <f t="shared" si="49"/>
        <v>0</v>
      </c>
      <c r="M140" s="426">
        <f t="shared" si="49"/>
        <v>0</v>
      </c>
      <c r="N140" s="87"/>
    </row>
    <row r="141" spans="2:14" x14ac:dyDescent="0.2">
      <c r="B141" s="83"/>
      <c r="C141" s="216"/>
      <c r="D141" s="448" t="s">
        <v>71</v>
      </c>
      <c r="E141" s="204"/>
      <c r="F141" s="408"/>
      <c r="G141" s="447"/>
      <c r="H141" s="447">
        <f t="shared" ref="H141:I141" si="50">7/12*(G140-G114)+5/12*(H140-H114)+H114</f>
        <v>0</v>
      </c>
      <c r="I141" s="447">
        <f t="shared" si="50"/>
        <v>0</v>
      </c>
      <c r="J141" s="447">
        <f>7/12*(I140-I114)+5/12*(J140-J114)+J114</f>
        <v>0</v>
      </c>
      <c r="K141" s="447">
        <f>7/12*(J140-J114)+5/12*(K140-K114)+K114</f>
        <v>0</v>
      </c>
      <c r="L141" s="447">
        <f>7/12*(K140-K114)+5/12*(L140-L114)+L114</f>
        <v>0</v>
      </c>
      <c r="M141" s="447">
        <f>7/12*(L140-L114)+5/12*(M140-M114)+M114</f>
        <v>0</v>
      </c>
      <c r="N141" s="87"/>
    </row>
    <row r="142" spans="2:14" x14ac:dyDescent="0.2">
      <c r="B142" s="83"/>
      <c r="C142" s="409"/>
      <c r="D142" s="88"/>
      <c r="E142" s="88"/>
      <c r="F142" s="409"/>
      <c r="G142" s="84"/>
      <c r="H142" s="84"/>
      <c r="I142" s="84"/>
      <c r="J142" s="84"/>
      <c r="K142" s="84"/>
      <c r="L142" s="84"/>
      <c r="M142" s="84"/>
      <c r="N142" s="87"/>
    </row>
    <row r="143" spans="2:14" x14ac:dyDescent="0.2">
      <c r="B143" s="83"/>
      <c r="C143" s="217"/>
      <c r="D143" s="218"/>
      <c r="E143" s="218"/>
      <c r="F143" s="219"/>
      <c r="G143" s="160"/>
      <c r="H143" s="160"/>
      <c r="I143" s="160"/>
      <c r="J143" s="160"/>
      <c r="K143" s="160"/>
      <c r="L143" s="160"/>
      <c r="M143" s="160"/>
      <c r="N143" s="87"/>
    </row>
    <row r="144" spans="2:14" x14ac:dyDescent="0.2">
      <c r="B144" s="83"/>
      <c r="C144" s="404"/>
      <c r="D144" s="488" t="s">
        <v>216</v>
      </c>
      <c r="E144" s="141"/>
      <c r="F144" s="180"/>
      <c r="G144" s="136"/>
      <c r="H144" s="136"/>
      <c r="I144" s="136"/>
      <c r="J144" s="136"/>
      <c r="K144" s="136"/>
      <c r="L144" s="136"/>
      <c r="M144" s="136"/>
      <c r="N144" s="87"/>
    </row>
    <row r="145" spans="2:14" x14ac:dyDescent="0.2">
      <c r="B145" s="83"/>
      <c r="C145" s="404"/>
      <c r="D145" s="144"/>
      <c r="E145" s="144"/>
      <c r="F145" s="180"/>
      <c r="G145" s="136"/>
      <c r="H145" s="136"/>
      <c r="I145" s="136"/>
      <c r="J145" s="136"/>
      <c r="K145" s="136"/>
      <c r="L145" s="136"/>
      <c r="M145" s="136"/>
      <c r="N145" s="87"/>
    </row>
    <row r="146" spans="2:14" x14ac:dyDescent="0.2">
      <c r="B146" s="83"/>
      <c r="C146" s="404"/>
      <c r="D146" s="736"/>
      <c r="E146" s="737"/>
      <c r="F146" s="180"/>
      <c r="G146" s="207">
        <v>0</v>
      </c>
      <c r="H146" s="207">
        <f t="shared" ref="H146:M150" si="51">G146</f>
        <v>0</v>
      </c>
      <c r="I146" s="207">
        <f t="shared" si="51"/>
        <v>0</v>
      </c>
      <c r="J146" s="207">
        <f t="shared" si="51"/>
        <v>0</v>
      </c>
      <c r="K146" s="207">
        <f t="shared" si="51"/>
        <v>0</v>
      </c>
      <c r="L146" s="207">
        <f t="shared" si="51"/>
        <v>0</v>
      </c>
      <c r="M146" s="207">
        <f t="shared" si="51"/>
        <v>0</v>
      </c>
      <c r="N146" s="87"/>
    </row>
    <row r="147" spans="2:14" x14ac:dyDescent="0.2">
      <c r="B147" s="83"/>
      <c r="C147" s="404"/>
      <c r="D147" s="731"/>
      <c r="E147" s="732"/>
      <c r="F147" s="180"/>
      <c r="G147" s="207">
        <v>0</v>
      </c>
      <c r="H147" s="207">
        <f t="shared" si="51"/>
        <v>0</v>
      </c>
      <c r="I147" s="207">
        <f t="shared" si="51"/>
        <v>0</v>
      </c>
      <c r="J147" s="207">
        <f t="shared" si="51"/>
        <v>0</v>
      </c>
      <c r="K147" s="207">
        <f t="shared" si="51"/>
        <v>0</v>
      </c>
      <c r="L147" s="207">
        <f t="shared" si="51"/>
        <v>0</v>
      </c>
      <c r="M147" s="207">
        <f t="shared" si="51"/>
        <v>0</v>
      </c>
      <c r="N147" s="87"/>
    </row>
    <row r="148" spans="2:14" x14ac:dyDescent="0.2">
      <c r="B148" s="83"/>
      <c r="C148" s="404"/>
      <c r="D148" s="731"/>
      <c r="E148" s="732"/>
      <c r="F148" s="180"/>
      <c r="G148" s="207">
        <v>0</v>
      </c>
      <c r="H148" s="207">
        <f t="shared" si="51"/>
        <v>0</v>
      </c>
      <c r="I148" s="207">
        <f t="shared" si="51"/>
        <v>0</v>
      </c>
      <c r="J148" s="207">
        <f t="shared" si="51"/>
        <v>0</v>
      </c>
      <c r="K148" s="207">
        <f t="shared" si="51"/>
        <v>0</v>
      </c>
      <c r="L148" s="207">
        <f t="shared" si="51"/>
        <v>0</v>
      </c>
      <c r="M148" s="207">
        <f t="shared" si="51"/>
        <v>0</v>
      </c>
      <c r="N148" s="87"/>
    </row>
    <row r="149" spans="2:14" x14ac:dyDescent="0.2">
      <c r="B149" s="83"/>
      <c r="C149" s="404"/>
      <c r="D149" s="736"/>
      <c r="E149" s="737"/>
      <c r="F149" s="180"/>
      <c r="G149" s="207">
        <v>0</v>
      </c>
      <c r="H149" s="207">
        <f t="shared" si="51"/>
        <v>0</v>
      </c>
      <c r="I149" s="207">
        <f t="shared" si="51"/>
        <v>0</v>
      </c>
      <c r="J149" s="207">
        <f t="shared" si="51"/>
        <v>0</v>
      </c>
      <c r="K149" s="207">
        <f t="shared" si="51"/>
        <v>0</v>
      </c>
      <c r="L149" s="207">
        <f t="shared" si="51"/>
        <v>0</v>
      </c>
      <c r="M149" s="207">
        <f t="shared" si="51"/>
        <v>0</v>
      </c>
      <c r="N149" s="87"/>
    </row>
    <row r="150" spans="2:14" x14ac:dyDescent="0.2">
      <c r="B150" s="83"/>
      <c r="C150" s="404"/>
      <c r="D150" s="736"/>
      <c r="E150" s="737"/>
      <c r="F150" s="180"/>
      <c r="G150" s="207">
        <v>0</v>
      </c>
      <c r="H150" s="207">
        <f t="shared" si="51"/>
        <v>0</v>
      </c>
      <c r="I150" s="207">
        <f t="shared" si="51"/>
        <v>0</v>
      </c>
      <c r="J150" s="207">
        <f t="shared" si="51"/>
        <v>0</v>
      </c>
      <c r="K150" s="207">
        <f t="shared" si="51"/>
        <v>0</v>
      </c>
      <c r="L150" s="207">
        <f t="shared" si="51"/>
        <v>0</v>
      </c>
      <c r="M150" s="207">
        <f t="shared" si="51"/>
        <v>0</v>
      </c>
      <c r="N150" s="87"/>
    </row>
    <row r="151" spans="2:14" x14ac:dyDescent="0.2">
      <c r="B151" s="83"/>
      <c r="C151" s="404"/>
      <c r="D151" s="131"/>
      <c r="E151" s="131"/>
      <c r="F151" s="180"/>
      <c r="G151" s="132"/>
      <c r="H151" s="132"/>
      <c r="I151" s="132"/>
      <c r="J151" s="132"/>
      <c r="K151" s="132"/>
      <c r="L151" s="132"/>
      <c r="M151" s="132"/>
      <c r="N151" s="87"/>
    </row>
    <row r="152" spans="2:14" x14ac:dyDescent="0.2">
      <c r="B152" s="83"/>
      <c r="C152" s="404"/>
      <c r="D152" s="141" t="s">
        <v>168</v>
      </c>
      <c r="E152" s="141"/>
      <c r="F152" s="181"/>
      <c r="G152" s="427">
        <f t="shared" ref="G152:M152" si="52">SUM(G146:G150)</f>
        <v>0</v>
      </c>
      <c r="H152" s="427">
        <f t="shared" si="52"/>
        <v>0</v>
      </c>
      <c r="I152" s="427">
        <f t="shared" si="52"/>
        <v>0</v>
      </c>
      <c r="J152" s="427">
        <f t="shared" si="52"/>
        <v>0</v>
      </c>
      <c r="K152" s="427">
        <f t="shared" si="52"/>
        <v>0</v>
      </c>
      <c r="L152" s="427">
        <f t="shared" si="52"/>
        <v>0</v>
      </c>
      <c r="M152" s="427">
        <f t="shared" si="52"/>
        <v>0</v>
      </c>
      <c r="N152" s="87"/>
    </row>
    <row r="153" spans="2:14" x14ac:dyDescent="0.2">
      <c r="B153" s="83"/>
      <c r="C153" s="410"/>
      <c r="D153" s="448" t="s">
        <v>71</v>
      </c>
      <c r="E153" s="449"/>
      <c r="F153" s="451"/>
      <c r="G153" s="447"/>
      <c r="H153" s="447">
        <f t="shared" ref="H153:M153" si="53">7/12*G152+5/12*H152</f>
        <v>0</v>
      </c>
      <c r="I153" s="447">
        <f t="shared" si="53"/>
        <v>0</v>
      </c>
      <c r="J153" s="447">
        <f t="shared" si="53"/>
        <v>0</v>
      </c>
      <c r="K153" s="447">
        <f t="shared" si="53"/>
        <v>0</v>
      </c>
      <c r="L153" s="447">
        <f t="shared" si="53"/>
        <v>0</v>
      </c>
      <c r="M153" s="447">
        <f t="shared" si="53"/>
        <v>0</v>
      </c>
      <c r="N153" s="87"/>
    </row>
    <row r="154" spans="2:14" x14ac:dyDescent="0.2">
      <c r="B154" s="83"/>
      <c r="C154" s="409"/>
      <c r="D154" s="88"/>
      <c r="E154" s="88"/>
      <c r="F154" s="411"/>
      <c r="G154" s="84"/>
      <c r="H154" s="84"/>
      <c r="I154" s="84"/>
      <c r="J154" s="84"/>
      <c r="K154" s="84"/>
      <c r="L154" s="84"/>
      <c r="M154" s="84"/>
      <c r="N154" s="87"/>
    </row>
    <row r="155" spans="2:14" x14ac:dyDescent="0.2">
      <c r="B155" s="83"/>
      <c r="C155" s="412"/>
      <c r="D155" s="158"/>
      <c r="E155" s="158"/>
      <c r="F155" s="413"/>
      <c r="G155" s="127"/>
      <c r="H155" s="127"/>
      <c r="I155" s="127"/>
      <c r="J155" s="127"/>
      <c r="K155" s="127"/>
      <c r="L155" s="127"/>
      <c r="M155" s="127"/>
      <c r="N155" s="87"/>
    </row>
    <row r="156" spans="2:14" x14ac:dyDescent="0.2">
      <c r="B156" s="83"/>
      <c r="C156" s="404"/>
      <c r="D156" s="488" t="s">
        <v>215</v>
      </c>
      <c r="E156" s="141"/>
      <c r="F156" s="405"/>
      <c r="G156" s="132"/>
      <c r="H156" s="132"/>
      <c r="I156" s="132"/>
      <c r="J156" s="132"/>
      <c r="K156" s="132"/>
      <c r="L156" s="132"/>
      <c r="M156" s="132"/>
      <c r="N156" s="87"/>
    </row>
    <row r="157" spans="2:14" x14ac:dyDescent="0.2">
      <c r="B157" s="83"/>
      <c r="C157" s="404"/>
      <c r="D157" s="144"/>
      <c r="E157" s="144"/>
      <c r="F157" s="405"/>
      <c r="G157" s="132"/>
      <c r="H157" s="132"/>
      <c r="I157" s="132"/>
      <c r="J157" s="132"/>
      <c r="K157" s="132"/>
      <c r="L157" s="132"/>
      <c r="M157" s="132"/>
      <c r="N157" s="87"/>
    </row>
    <row r="158" spans="2:14" x14ac:dyDescent="0.2">
      <c r="B158" s="83"/>
      <c r="C158" s="404"/>
      <c r="D158" s="736"/>
      <c r="E158" s="737"/>
      <c r="F158" s="405"/>
      <c r="G158" s="207">
        <v>0</v>
      </c>
      <c r="H158" s="207">
        <f t="shared" ref="H158:M162" si="54">G158</f>
        <v>0</v>
      </c>
      <c r="I158" s="207">
        <f t="shared" si="54"/>
        <v>0</v>
      </c>
      <c r="J158" s="207">
        <f t="shared" si="54"/>
        <v>0</v>
      </c>
      <c r="K158" s="207">
        <f t="shared" si="54"/>
        <v>0</v>
      </c>
      <c r="L158" s="207">
        <f t="shared" si="54"/>
        <v>0</v>
      </c>
      <c r="M158" s="207">
        <f t="shared" si="54"/>
        <v>0</v>
      </c>
      <c r="N158" s="87"/>
    </row>
    <row r="159" spans="2:14" x14ac:dyDescent="0.2">
      <c r="B159" s="83"/>
      <c r="C159" s="404"/>
      <c r="D159" s="731"/>
      <c r="E159" s="732"/>
      <c r="F159" s="405"/>
      <c r="G159" s="207">
        <v>0</v>
      </c>
      <c r="H159" s="207">
        <f t="shared" si="54"/>
        <v>0</v>
      </c>
      <c r="I159" s="207">
        <f t="shared" si="54"/>
        <v>0</v>
      </c>
      <c r="J159" s="207">
        <f t="shared" si="54"/>
        <v>0</v>
      </c>
      <c r="K159" s="207">
        <f t="shared" si="54"/>
        <v>0</v>
      </c>
      <c r="L159" s="207">
        <f t="shared" si="54"/>
        <v>0</v>
      </c>
      <c r="M159" s="207">
        <f t="shared" si="54"/>
        <v>0</v>
      </c>
      <c r="N159" s="87"/>
    </row>
    <row r="160" spans="2:14" x14ac:dyDescent="0.2">
      <c r="B160" s="83"/>
      <c r="C160" s="404"/>
      <c r="D160" s="731"/>
      <c r="E160" s="732"/>
      <c r="F160" s="405"/>
      <c r="G160" s="207">
        <v>0</v>
      </c>
      <c r="H160" s="207">
        <f t="shared" si="54"/>
        <v>0</v>
      </c>
      <c r="I160" s="207">
        <f t="shared" si="54"/>
        <v>0</v>
      </c>
      <c r="J160" s="207">
        <f t="shared" si="54"/>
        <v>0</v>
      </c>
      <c r="K160" s="207">
        <f t="shared" si="54"/>
        <v>0</v>
      </c>
      <c r="L160" s="207">
        <f t="shared" si="54"/>
        <v>0</v>
      </c>
      <c r="M160" s="207">
        <f t="shared" si="54"/>
        <v>0</v>
      </c>
      <c r="N160" s="87"/>
    </row>
    <row r="161" spans="2:14" x14ac:dyDescent="0.2">
      <c r="B161" s="83"/>
      <c r="C161" s="404"/>
      <c r="D161" s="736"/>
      <c r="E161" s="737"/>
      <c r="F161" s="405"/>
      <c r="G161" s="207">
        <v>0</v>
      </c>
      <c r="H161" s="207">
        <f t="shared" si="54"/>
        <v>0</v>
      </c>
      <c r="I161" s="207">
        <f t="shared" si="54"/>
        <v>0</v>
      </c>
      <c r="J161" s="207">
        <f t="shared" si="54"/>
        <v>0</v>
      </c>
      <c r="K161" s="207">
        <f t="shared" si="54"/>
        <v>0</v>
      </c>
      <c r="L161" s="207">
        <f t="shared" si="54"/>
        <v>0</v>
      </c>
      <c r="M161" s="207">
        <f t="shared" si="54"/>
        <v>0</v>
      </c>
      <c r="N161" s="87"/>
    </row>
    <row r="162" spans="2:14" x14ac:dyDescent="0.2">
      <c r="B162" s="83"/>
      <c r="C162" s="404"/>
      <c r="D162" s="736"/>
      <c r="E162" s="737"/>
      <c r="F162" s="405"/>
      <c r="G162" s="207">
        <v>0</v>
      </c>
      <c r="H162" s="207">
        <f t="shared" si="54"/>
        <v>0</v>
      </c>
      <c r="I162" s="207">
        <f t="shared" si="54"/>
        <v>0</v>
      </c>
      <c r="J162" s="207">
        <f t="shared" si="54"/>
        <v>0</v>
      </c>
      <c r="K162" s="207">
        <f t="shared" si="54"/>
        <v>0</v>
      </c>
      <c r="L162" s="207">
        <f t="shared" si="54"/>
        <v>0</v>
      </c>
      <c r="M162" s="207">
        <f t="shared" si="54"/>
        <v>0</v>
      </c>
      <c r="N162" s="87"/>
    </row>
    <row r="163" spans="2:14" x14ac:dyDescent="0.2">
      <c r="B163" s="83"/>
      <c r="C163" s="404"/>
      <c r="D163" s="131"/>
      <c r="E163" s="131"/>
      <c r="F163" s="405"/>
      <c r="G163" s="132"/>
      <c r="H163" s="132"/>
      <c r="I163" s="132"/>
      <c r="J163" s="132"/>
      <c r="K163" s="132"/>
      <c r="L163" s="132"/>
      <c r="M163" s="132"/>
      <c r="N163" s="87"/>
    </row>
    <row r="164" spans="2:14" x14ac:dyDescent="0.2">
      <c r="B164" s="83"/>
      <c r="C164" s="404"/>
      <c r="D164" s="141" t="s">
        <v>168</v>
      </c>
      <c r="E164" s="141"/>
      <c r="F164" s="181"/>
      <c r="G164" s="427">
        <f t="shared" ref="G164" si="55">SUM(G158:G162)</f>
        <v>0</v>
      </c>
      <c r="H164" s="427">
        <f t="shared" ref="H164:M164" si="56">SUM(H158:H162)</f>
        <v>0</v>
      </c>
      <c r="I164" s="427">
        <f t="shared" si="56"/>
        <v>0</v>
      </c>
      <c r="J164" s="427">
        <f t="shared" si="56"/>
        <v>0</v>
      </c>
      <c r="K164" s="427">
        <f t="shared" si="56"/>
        <v>0</v>
      </c>
      <c r="L164" s="427">
        <f t="shared" si="56"/>
        <v>0</v>
      </c>
      <c r="M164" s="427">
        <f t="shared" si="56"/>
        <v>0</v>
      </c>
      <c r="N164" s="87"/>
    </row>
    <row r="165" spans="2:14" x14ac:dyDescent="0.2">
      <c r="B165" s="83"/>
      <c r="C165" s="183"/>
      <c r="D165" s="448" t="s">
        <v>71</v>
      </c>
      <c r="E165" s="449"/>
      <c r="F165" s="450"/>
      <c r="G165" s="447"/>
      <c r="H165" s="447">
        <f t="shared" ref="H165:M165" si="57">7/12*G164+5/12*H164</f>
        <v>0</v>
      </c>
      <c r="I165" s="447">
        <f t="shared" si="57"/>
        <v>0</v>
      </c>
      <c r="J165" s="447">
        <f t="shared" si="57"/>
        <v>0</v>
      </c>
      <c r="K165" s="447">
        <f t="shared" si="57"/>
        <v>0</v>
      </c>
      <c r="L165" s="447">
        <f t="shared" si="57"/>
        <v>0</v>
      </c>
      <c r="M165" s="447">
        <f t="shared" si="57"/>
        <v>0</v>
      </c>
      <c r="N165" s="87"/>
    </row>
    <row r="166" spans="2:14" x14ac:dyDescent="0.2">
      <c r="B166" s="83"/>
      <c r="C166" s="99"/>
      <c r="D166" s="92"/>
      <c r="E166" s="92"/>
      <c r="F166" s="108"/>
      <c r="G166" s="84"/>
      <c r="H166" s="84"/>
      <c r="I166" s="84"/>
      <c r="J166" s="84"/>
      <c r="K166" s="84"/>
      <c r="L166" s="84"/>
      <c r="M166" s="84"/>
      <c r="N166" s="87"/>
    </row>
    <row r="167" spans="2:14" x14ac:dyDescent="0.2">
      <c r="B167" s="101"/>
      <c r="C167" s="102"/>
      <c r="D167" s="109"/>
      <c r="E167" s="109"/>
      <c r="F167" s="102"/>
      <c r="G167" s="102"/>
      <c r="H167" s="102"/>
      <c r="I167" s="102"/>
      <c r="J167" s="102"/>
      <c r="K167" s="102"/>
      <c r="L167" s="102"/>
      <c r="M167" s="102"/>
      <c r="N167" s="103"/>
    </row>
    <row r="168" spans="2:14" x14ac:dyDescent="0.2">
      <c r="B168" s="78"/>
      <c r="C168" s="79"/>
      <c r="D168" s="414"/>
      <c r="E168" s="414"/>
      <c r="F168" s="79"/>
      <c r="G168" s="79"/>
      <c r="H168" s="79"/>
      <c r="I168" s="79"/>
      <c r="J168" s="79"/>
      <c r="K168" s="79"/>
      <c r="L168" s="79"/>
      <c r="M168" s="79"/>
      <c r="N168" s="82"/>
    </row>
    <row r="169" spans="2:14" x14ac:dyDescent="0.2">
      <c r="B169" s="83"/>
      <c r="C169" s="84"/>
      <c r="D169" s="415"/>
      <c r="E169" s="415"/>
      <c r="F169" s="84"/>
      <c r="G169" s="84"/>
      <c r="H169" s="84"/>
      <c r="I169" s="84"/>
      <c r="J169" s="84"/>
      <c r="K169" s="84"/>
      <c r="L169" s="84"/>
      <c r="M169" s="84"/>
      <c r="N169" s="87"/>
    </row>
    <row r="170" spans="2:14" x14ac:dyDescent="0.2">
      <c r="B170" s="83"/>
      <c r="C170" s="84"/>
      <c r="D170" s="93"/>
      <c r="E170" s="481" t="s">
        <v>32</v>
      </c>
      <c r="F170" s="489"/>
      <c r="G170" s="482" t="str">
        <f t="shared" ref="G170:M170" si="58">G86</f>
        <v>2016/17</v>
      </c>
      <c r="H170" s="482" t="str">
        <f t="shared" si="58"/>
        <v>2017/18</v>
      </c>
      <c r="I170" s="482" t="str">
        <f t="shared" si="58"/>
        <v>2018/19</v>
      </c>
      <c r="J170" s="482" t="str">
        <f t="shared" si="58"/>
        <v>2019/20</v>
      </c>
      <c r="K170" s="482" t="str">
        <f t="shared" si="58"/>
        <v>2020/21</v>
      </c>
      <c r="L170" s="482" t="str">
        <f t="shared" si="58"/>
        <v>2021/22</v>
      </c>
      <c r="M170" s="482" t="str">
        <f t="shared" si="58"/>
        <v>2023/23</v>
      </c>
      <c r="N170" s="87"/>
    </row>
    <row r="171" spans="2:14" x14ac:dyDescent="0.2">
      <c r="B171" s="83"/>
      <c r="C171" s="84"/>
      <c r="D171" s="93"/>
      <c r="E171" s="481" t="s">
        <v>71</v>
      </c>
      <c r="F171" s="489"/>
      <c r="G171" s="482">
        <f t="shared" ref="G171:M171" si="59">G9</f>
        <v>2016</v>
      </c>
      <c r="H171" s="482">
        <f t="shared" si="59"/>
        <v>2017</v>
      </c>
      <c r="I171" s="482">
        <f t="shared" si="59"/>
        <v>2018</v>
      </c>
      <c r="J171" s="482">
        <f t="shared" si="59"/>
        <v>2019</v>
      </c>
      <c r="K171" s="482">
        <f t="shared" si="59"/>
        <v>2020</v>
      </c>
      <c r="L171" s="482">
        <f t="shared" si="59"/>
        <v>2021</v>
      </c>
      <c r="M171" s="482">
        <f t="shared" si="59"/>
        <v>2022</v>
      </c>
      <c r="N171" s="87"/>
    </row>
    <row r="172" spans="2:14" x14ac:dyDescent="0.2">
      <c r="B172" s="83"/>
      <c r="C172" s="84"/>
      <c r="D172" s="415"/>
      <c r="E172" s="454"/>
      <c r="F172" s="453"/>
      <c r="G172" s="354"/>
      <c r="H172" s="354"/>
      <c r="I172" s="354"/>
      <c r="J172" s="354"/>
      <c r="K172" s="354"/>
      <c r="L172" s="354"/>
      <c r="M172" s="354"/>
      <c r="N172" s="87"/>
    </row>
    <row r="173" spans="2:14" x14ac:dyDescent="0.2">
      <c r="B173" s="83"/>
      <c r="C173" s="412"/>
      <c r="D173" s="158"/>
      <c r="E173" s="158"/>
      <c r="F173" s="416"/>
      <c r="G173" s="160"/>
      <c r="H173" s="160"/>
      <c r="I173" s="160"/>
      <c r="J173" s="160"/>
      <c r="K173" s="160"/>
      <c r="L173" s="160"/>
      <c r="M173" s="160"/>
      <c r="N173" s="87"/>
    </row>
    <row r="174" spans="2:14" x14ac:dyDescent="0.2">
      <c r="B174" s="83"/>
      <c r="C174" s="404"/>
      <c r="D174" s="488" t="s">
        <v>211</v>
      </c>
      <c r="E174" s="141"/>
      <c r="F174" s="402"/>
      <c r="G174" s="136"/>
      <c r="H174" s="136"/>
      <c r="I174" s="136"/>
      <c r="J174" s="136"/>
      <c r="K174" s="136"/>
      <c r="L174" s="136"/>
      <c r="M174" s="136"/>
      <c r="N174" s="87"/>
    </row>
    <row r="175" spans="2:14" x14ac:dyDescent="0.2">
      <c r="B175" s="83"/>
      <c r="C175" s="404"/>
      <c r="D175" s="131"/>
      <c r="E175" s="131"/>
      <c r="F175" s="402"/>
      <c r="G175" s="136"/>
      <c r="H175" s="136"/>
      <c r="I175" s="136"/>
      <c r="J175" s="136"/>
      <c r="K175" s="136"/>
      <c r="L175" s="136"/>
      <c r="M175" s="136"/>
      <c r="N175" s="87"/>
    </row>
    <row r="176" spans="2:14" x14ac:dyDescent="0.2">
      <c r="B176" s="83"/>
      <c r="C176" s="404"/>
      <c r="D176" s="144" t="s">
        <v>170</v>
      </c>
      <c r="E176" s="144"/>
      <c r="F176" s="402"/>
      <c r="G176" s="136"/>
      <c r="H176" s="136"/>
      <c r="I176" s="136"/>
      <c r="J176" s="136"/>
      <c r="K176" s="136"/>
      <c r="L176" s="136"/>
      <c r="M176" s="136"/>
      <c r="N176" s="87"/>
    </row>
    <row r="177" spans="2:14" x14ac:dyDescent="0.2">
      <c r="B177" s="83"/>
      <c r="C177" s="404"/>
      <c r="D177" s="185" t="s">
        <v>171</v>
      </c>
      <c r="E177" s="185"/>
      <c r="F177" s="186"/>
      <c r="G177" s="207">
        <v>0</v>
      </c>
      <c r="H177" s="207">
        <f t="shared" ref="H177:M179" si="60">G177</f>
        <v>0</v>
      </c>
      <c r="I177" s="207">
        <f t="shared" si="60"/>
        <v>0</v>
      </c>
      <c r="J177" s="207">
        <f t="shared" si="60"/>
        <v>0</v>
      </c>
      <c r="K177" s="207">
        <f t="shared" si="60"/>
        <v>0</v>
      </c>
      <c r="L177" s="207">
        <f t="shared" si="60"/>
        <v>0</v>
      </c>
      <c r="M177" s="207">
        <f t="shared" si="60"/>
        <v>0</v>
      </c>
      <c r="N177" s="87"/>
    </row>
    <row r="178" spans="2:14" x14ac:dyDescent="0.2">
      <c r="B178" s="83"/>
      <c r="C178" s="404"/>
      <c r="D178" s="185" t="s">
        <v>172</v>
      </c>
      <c r="E178" s="185"/>
      <c r="F178" s="186"/>
      <c r="G178" s="207">
        <v>0</v>
      </c>
      <c r="H178" s="207">
        <f t="shared" si="60"/>
        <v>0</v>
      </c>
      <c r="I178" s="207">
        <f t="shared" si="60"/>
        <v>0</v>
      </c>
      <c r="J178" s="207">
        <f t="shared" si="60"/>
        <v>0</v>
      </c>
      <c r="K178" s="207">
        <f t="shared" si="60"/>
        <v>0</v>
      </c>
      <c r="L178" s="207">
        <f t="shared" si="60"/>
        <v>0</v>
      </c>
      <c r="M178" s="207">
        <f t="shared" si="60"/>
        <v>0</v>
      </c>
      <c r="N178" s="87"/>
    </row>
    <row r="179" spans="2:14" x14ac:dyDescent="0.2">
      <c r="B179" s="83"/>
      <c r="C179" s="404"/>
      <c r="D179" s="185" t="s">
        <v>173</v>
      </c>
      <c r="E179" s="185"/>
      <c r="F179" s="186"/>
      <c r="G179" s="207">
        <v>0</v>
      </c>
      <c r="H179" s="207">
        <f t="shared" si="60"/>
        <v>0</v>
      </c>
      <c r="I179" s="207">
        <f t="shared" si="60"/>
        <v>0</v>
      </c>
      <c r="J179" s="207">
        <f t="shared" si="60"/>
        <v>0</v>
      </c>
      <c r="K179" s="207">
        <f t="shared" si="60"/>
        <v>0</v>
      </c>
      <c r="L179" s="207">
        <f t="shared" si="60"/>
        <v>0</v>
      </c>
      <c r="M179" s="207">
        <f t="shared" si="60"/>
        <v>0</v>
      </c>
      <c r="N179" s="87"/>
    </row>
    <row r="180" spans="2:14" s="73" customFormat="1" x14ac:dyDescent="0.2">
      <c r="B180" s="96"/>
      <c r="C180" s="182"/>
      <c r="D180" s="187"/>
      <c r="E180" s="187"/>
      <c r="F180" s="186"/>
      <c r="G180" s="428">
        <f t="shared" ref="G180" si="61">SUM(G177:G179)</f>
        <v>0</v>
      </c>
      <c r="H180" s="428">
        <f t="shared" ref="H180:M180" si="62">SUM(H177:H179)</f>
        <v>0</v>
      </c>
      <c r="I180" s="428">
        <f t="shared" si="62"/>
        <v>0</v>
      </c>
      <c r="J180" s="428">
        <f t="shared" si="62"/>
        <v>0</v>
      </c>
      <c r="K180" s="428">
        <f t="shared" si="62"/>
        <v>0</v>
      </c>
      <c r="L180" s="428">
        <f t="shared" si="62"/>
        <v>0</v>
      </c>
      <c r="M180" s="428">
        <f t="shared" si="62"/>
        <v>0</v>
      </c>
      <c r="N180" s="98"/>
    </row>
    <row r="181" spans="2:14" x14ac:dyDescent="0.2">
      <c r="B181" s="83"/>
      <c r="C181" s="404"/>
      <c r="D181" s="144" t="s">
        <v>174</v>
      </c>
      <c r="E181" s="144"/>
      <c r="F181" s="175"/>
      <c r="G181" s="169"/>
      <c r="H181" s="169"/>
      <c r="I181" s="169"/>
      <c r="J181" s="169"/>
      <c r="K181" s="169"/>
      <c r="L181" s="169"/>
      <c r="M181" s="169"/>
      <c r="N181" s="87"/>
    </row>
    <row r="182" spans="2:14" x14ac:dyDescent="0.2">
      <c r="B182" s="83"/>
      <c r="C182" s="404"/>
      <c r="D182" s="736"/>
      <c r="E182" s="737"/>
      <c r="F182" s="402"/>
      <c r="G182" s="207">
        <v>0</v>
      </c>
      <c r="H182" s="207">
        <f t="shared" ref="H182:M186" si="63">G182</f>
        <v>0</v>
      </c>
      <c r="I182" s="207">
        <f t="shared" si="63"/>
        <v>0</v>
      </c>
      <c r="J182" s="207">
        <f t="shared" si="63"/>
        <v>0</v>
      </c>
      <c r="K182" s="207">
        <f t="shared" si="63"/>
        <v>0</v>
      </c>
      <c r="L182" s="207">
        <f t="shared" si="63"/>
        <v>0</v>
      </c>
      <c r="M182" s="207">
        <f t="shared" si="63"/>
        <v>0</v>
      </c>
      <c r="N182" s="87"/>
    </row>
    <row r="183" spans="2:14" x14ac:dyDescent="0.2">
      <c r="B183" s="83"/>
      <c r="C183" s="404"/>
      <c r="D183" s="736"/>
      <c r="E183" s="737"/>
      <c r="F183" s="402"/>
      <c r="G183" s="207">
        <v>0</v>
      </c>
      <c r="H183" s="207">
        <f t="shared" si="63"/>
        <v>0</v>
      </c>
      <c r="I183" s="207">
        <f t="shared" si="63"/>
        <v>0</v>
      </c>
      <c r="J183" s="207">
        <f t="shared" si="63"/>
        <v>0</v>
      </c>
      <c r="K183" s="207">
        <f t="shared" si="63"/>
        <v>0</v>
      </c>
      <c r="L183" s="207">
        <f t="shared" si="63"/>
        <v>0</v>
      </c>
      <c r="M183" s="207">
        <f t="shared" si="63"/>
        <v>0</v>
      </c>
      <c r="N183" s="87"/>
    </row>
    <row r="184" spans="2:14" x14ac:dyDescent="0.2">
      <c r="B184" s="83"/>
      <c r="C184" s="404"/>
      <c r="D184" s="736"/>
      <c r="E184" s="737"/>
      <c r="F184" s="402"/>
      <c r="G184" s="207">
        <v>0</v>
      </c>
      <c r="H184" s="207">
        <f t="shared" si="63"/>
        <v>0</v>
      </c>
      <c r="I184" s="207">
        <f t="shared" si="63"/>
        <v>0</v>
      </c>
      <c r="J184" s="207">
        <f t="shared" si="63"/>
        <v>0</v>
      </c>
      <c r="K184" s="207">
        <f t="shared" si="63"/>
        <v>0</v>
      </c>
      <c r="L184" s="207">
        <f t="shared" si="63"/>
        <v>0</v>
      </c>
      <c r="M184" s="207">
        <f t="shared" si="63"/>
        <v>0</v>
      </c>
      <c r="N184" s="87"/>
    </row>
    <row r="185" spans="2:14" x14ac:dyDescent="0.2">
      <c r="B185" s="83"/>
      <c r="C185" s="404"/>
      <c r="D185" s="736"/>
      <c r="E185" s="737"/>
      <c r="F185" s="402"/>
      <c r="G185" s="207">
        <v>0</v>
      </c>
      <c r="H185" s="207">
        <f t="shared" si="63"/>
        <v>0</v>
      </c>
      <c r="I185" s="207">
        <f t="shared" si="63"/>
        <v>0</v>
      </c>
      <c r="J185" s="207">
        <f t="shared" si="63"/>
        <v>0</v>
      </c>
      <c r="K185" s="207">
        <f t="shared" si="63"/>
        <v>0</v>
      </c>
      <c r="L185" s="207">
        <f t="shared" si="63"/>
        <v>0</v>
      </c>
      <c r="M185" s="207">
        <f t="shared" si="63"/>
        <v>0</v>
      </c>
      <c r="N185" s="87"/>
    </row>
    <row r="186" spans="2:14" x14ac:dyDescent="0.2">
      <c r="B186" s="83"/>
      <c r="C186" s="404"/>
      <c r="D186" s="736"/>
      <c r="E186" s="737"/>
      <c r="F186" s="402"/>
      <c r="G186" s="207">
        <v>0</v>
      </c>
      <c r="H186" s="207">
        <f t="shared" si="63"/>
        <v>0</v>
      </c>
      <c r="I186" s="207">
        <f t="shared" si="63"/>
        <v>0</v>
      </c>
      <c r="J186" s="207">
        <f t="shared" si="63"/>
        <v>0</v>
      </c>
      <c r="K186" s="207">
        <f t="shared" si="63"/>
        <v>0</v>
      </c>
      <c r="L186" s="207">
        <f t="shared" si="63"/>
        <v>0</v>
      </c>
      <c r="M186" s="207">
        <f t="shared" si="63"/>
        <v>0</v>
      </c>
      <c r="N186" s="87"/>
    </row>
    <row r="187" spans="2:14" s="73" customFormat="1" x14ac:dyDescent="0.2">
      <c r="B187" s="96"/>
      <c r="C187" s="182"/>
      <c r="D187" s="187"/>
      <c r="E187" s="187"/>
      <c r="F187" s="149"/>
      <c r="G187" s="428">
        <f t="shared" ref="G187:M187" si="64">SUM(G182:G186)</f>
        <v>0</v>
      </c>
      <c r="H187" s="428">
        <f t="shared" si="64"/>
        <v>0</v>
      </c>
      <c r="I187" s="428">
        <f t="shared" si="64"/>
        <v>0</v>
      </c>
      <c r="J187" s="428">
        <f t="shared" si="64"/>
        <v>0</v>
      </c>
      <c r="K187" s="428">
        <f t="shared" si="64"/>
        <v>0</v>
      </c>
      <c r="L187" s="428">
        <f t="shared" si="64"/>
        <v>0</v>
      </c>
      <c r="M187" s="428">
        <f t="shared" si="64"/>
        <v>0</v>
      </c>
      <c r="N187" s="98"/>
    </row>
    <row r="188" spans="2:14" x14ac:dyDescent="0.2">
      <c r="B188" s="83"/>
      <c r="C188" s="404"/>
      <c r="D188" s="176"/>
      <c r="E188" s="176"/>
      <c r="F188" s="402"/>
      <c r="G188" s="169"/>
      <c r="H188" s="169"/>
      <c r="I188" s="169"/>
      <c r="J188" s="169"/>
      <c r="K188" s="169"/>
      <c r="L188" s="169"/>
      <c r="M188" s="169"/>
      <c r="N188" s="87"/>
    </row>
    <row r="189" spans="2:14" x14ac:dyDescent="0.2">
      <c r="B189" s="83"/>
      <c r="C189" s="174"/>
      <c r="D189" s="141" t="s">
        <v>175</v>
      </c>
      <c r="E189" s="141"/>
      <c r="F189" s="402"/>
      <c r="G189" s="427">
        <f t="shared" ref="G189:M189" si="65">G180+G187</f>
        <v>0</v>
      </c>
      <c r="H189" s="427">
        <f t="shared" si="65"/>
        <v>0</v>
      </c>
      <c r="I189" s="427">
        <f t="shared" si="65"/>
        <v>0</v>
      </c>
      <c r="J189" s="427">
        <f t="shared" si="65"/>
        <v>0</v>
      </c>
      <c r="K189" s="427">
        <f t="shared" si="65"/>
        <v>0</v>
      </c>
      <c r="L189" s="427">
        <f t="shared" si="65"/>
        <v>0</v>
      </c>
      <c r="M189" s="427">
        <f t="shared" si="65"/>
        <v>0</v>
      </c>
      <c r="N189" s="87"/>
    </row>
    <row r="190" spans="2:14" x14ac:dyDescent="0.2">
      <c r="B190" s="83"/>
      <c r="C190" s="410"/>
      <c r="D190" s="448" t="s">
        <v>71</v>
      </c>
      <c r="E190" s="449"/>
      <c r="F190" s="452"/>
      <c r="G190" s="265"/>
      <c r="H190" s="265">
        <f t="shared" ref="H190:M190" si="66">7/12*G189+5/12*H189</f>
        <v>0</v>
      </c>
      <c r="I190" s="265">
        <f t="shared" si="66"/>
        <v>0</v>
      </c>
      <c r="J190" s="265">
        <f t="shared" si="66"/>
        <v>0</v>
      </c>
      <c r="K190" s="265">
        <f t="shared" si="66"/>
        <v>0</v>
      </c>
      <c r="L190" s="265">
        <f t="shared" si="66"/>
        <v>0</v>
      </c>
      <c r="M190" s="265">
        <f t="shared" si="66"/>
        <v>0</v>
      </c>
      <c r="N190" s="87"/>
    </row>
    <row r="191" spans="2:14" x14ac:dyDescent="0.2">
      <c r="B191" s="83"/>
      <c r="C191" s="409"/>
      <c r="D191" s="88"/>
      <c r="E191" s="88"/>
      <c r="F191" s="409"/>
      <c r="G191" s="84"/>
      <c r="H191" s="84"/>
      <c r="I191" s="84"/>
      <c r="J191" s="84"/>
      <c r="K191" s="84"/>
      <c r="L191" s="84"/>
      <c r="M191" s="84"/>
      <c r="N191" s="87"/>
    </row>
    <row r="192" spans="2:14" x14ac:dyDescent="0.2">
      <c r="B192" s="83"/>
      <c r="C192" s="200"/>
      <c r="D192" s="158"/>
      <c r="E192" s="158"/>
      <c r="F192" s="127"/>
      <c r="G192" s="201"/>
      <c r="H192" s="201"/>
      <c r="I192" s="201"/>
      <c r="J192" s="201"/>
      <c r="K192" s="201"/>
      <c r="L192" s="201"/>
      <c r="M192" s="201"/>
      <c r="N192" s="87"/>
    </row>
    <row r="193" spans="2:14" s="72" customFormat="1" x14ac:dyDescent="0.2">
      <c r="B193" s="94"/>
      <c r="C193" s="146"/>
      <c r="D193" s="488" t="s">
        <v>212</v>
      </c>
      <c r="E193" s="141"/>
      <c r="F193" s="195"/>
      <c r="G193" s="418"/>
      <c r="H193" s="418"/>
      <c r="I193" s="418"/>
      <c r="J193" s="418"/>
      <c r="K193" s="418"/>
      <c r="L193" s="418"/>
      <c r="M193" s="418"/>
      <c r="N193" s="95"/>
    </row>
    <row r="194" spans="2:14" x14ac:dyDescent="0.2">
      <c r="B194" s="83"/>
      <c r="C194" s="130"/>
      <c r="D194" s="131"/>
      <c r="E194" s="131"/>
      <c r="F194" s="188"/>
      <c r="G194" s="189"/>
      <c r="H194" s="189"/>
      <c r="I194" s="189"/>
      <c r="J194" s="189"/>
      <c r="K194" s="189"/>
      <c r="L194" s="189"/>
      <c r="M194" s="189"/>
      <c r="N194" s="87"/>
    </row>
    <row r="195" spans="2:14" x14ac:dyDescent="0.2">
      <c r="B195" s="83"/>
      <c r="C195" s="130"/>
      <c r="D195" s="744"/>
      <c r="E195" s="744"/>
      <c r="F195" s="188"/>
      <c r="G195" s="207">
        <v>0</v>
      </c>
      <c r="H195" s="207">
        <f t="shared" ref="H195:M198" si="67">G195</f>
        <v>0</v>
      </c>
      <c r="I195" s="207">
        <f t="shared" si="67"/>
        <v>0</v>
      </c>
      <c r="J195" s="207">
        <f t="shared" si="67"/>
        <v>0</v>
      </c>
      <c r="K195" s="207">
        <f t="shared" si="67"/>
        <v>0</v>
      </c>
      <c r="L195" s="207">
        <f t="shared" si="67"/>
        <v>0</v>
      </c>
      <c r="M195" s="207">
        <f t="shared" si="67"/>
        <v>0</v>
      </c>
      <c r="N195" s="87"/>
    </row>
    <row r="196" spans="2:14" x14ac:dyDescent="0.2">
      <c r="B196" s="83"/>
      <c r="C196" s="130"/>
      <c r="D196" s="744"/>
      <c r="E196" s="744"/>
      <c r="F196" s="188"/>
      <c r="G196" s="207">
        <v>0</v>
      </c>
      <c r="H196" s="207">
        <f t="shared" si="67"/>
        <v>0</v>
      </c>
      <c r="I196" s="207">
        <f t="shared" si="67"/>
        <v>0</v>
      </c>
      <c r="J196" s="207">
        <f t="shared" si="67"/>
        <v>0</v>
      </c>
      <c r="K196" s="207">
        <f t="shared" si="67"/>
        <v>0</v>
      </c>
      <c r="L196" s="207">
        <f t="shared" si="67"/>
        <v>0</v>
      </c>
      <c r="M196" s="207">
        <f t="shared" si="67"/>
        <v>0</v>
      </c>
      <c r="N196" s="87"/>
    </row>
    <row r="197" spans="2:14" x14ac:dyDescent="0.2">
      <c r="B197" s="83"/>
      <c r="C197" s="130"/>
      <c r="D197" s="744"/>
      <c r="E197" s="744"/>
      <c r="F197" s="188"/>
      <c r="G197" s="207">
        <v>0</v>
      </c>
      <c r="H197" s="207">
        <f t="shared" si="67"/>
        <v>0</v>
      </c>
      <c r="I197" s="207">
        <f t="shared" si="67"/>
        <v>0</v>
      </c>
      <c r="J197" s="207">
        <f t="shared" si="67"/>
        <v>0</v>
      </c>
      <c r="K197" s="207">
        <f t="shared" si="67"/>
        <v>0</v>
      </c>
      <c r="L197" s="207">
        <f t="shared" si="67"/>
        <v>0</v>
      </c>
      <c r="M197" s="207">
        <f t="shared" si="67"/>
        <v>0</v>
      </c>
      <c r="N197" s="87"/>
    </row>
    <row r="198" spans="2:14" x14ac:dyDescent="0.2">
      <c r="B198" s="83"/>
      <c r="C198" s="130"/>
      <c r="D198" s="744"/>
      <c r="E198" s="744"/>
      <c r="F198" s="188"/>
      <c r="G198" s="207">
        <v>0</v>
      </c>
      <c r="H198" s="207">
        <f t="shared" si="67"/>
        <v>0</v>
      </c>
      <c r="I198" s="207">
        <f t="shared" si="67"/>
        <v>0</v>
      </c>
      <c r="J198" s="207">
        <f t="shared" si="67"/>
        <v>0</v>
      </c>
      <c r="K198" s="207">
        <f t="shared" si="67"/>
        <v>0</v>
      </c>
      <c r="L198" s="207">
        <f t="shared" si="67"/>
        <v>0</v>
      </c>
      <c r="M198" s="207">
        <f t="shared" si="67"/>
        <v>0</v>
      </c>
      <c r="N198" s="87"/>
    </row>
    <row r="199" spans="2:14" x14ac:dyDescent="0.2">
      <c r="B199" s="83"/>
      <c r="C199" s="130"/>
      <c r="D199" s="131"/>
      <c r="E199" s="131"/>
      <c r="F199" s="188"/>
      <c r="G199" s="189"/>
      <c r="H199" s="189"/>
      <c r="I199" s="189"/>
      <c r="J199" s="189"/>
      <c r="K199" s="189"/>
      <c r="L199" s="189"/>
      <c r="M199" s="189"/>
      <c r="N199" s="87"/>
    </row>
    <row r="200" spans="2:14" s="72" customFormat="1" x14ac:dyDescent="0.2">
      <c r="B200" s="94"/>
      <c r="C200" s="146"/>
      <c r="D200" s="197" t="s">
        <v>168</v>
      </c>
      <c r="E200" s="197"/>
      <c r="F200" s="195"/>
      <c r="G200" s="429">
        <f t="shared" ref="G200" si="68">SUM(G195:G198)</f>
        <v>0</v>
      </c>
      <c r="H200" s="429">
        <f t="shared" ref="H200:M200" si="69">SUM(H195:H198)</f>
        <v>0</v>
      </c>
      <c r="I200" s="429">
        <f t="shared" si="69"/>
        <v>0</v>
      </c>
      <c r="J200" s="429">
        <f t="shared" si="69"/>
        <v>0</v>
      </c>
      <c r="K200" s="429">
        <f t="shared" si="69"/>
        <v>0</v>
      </c>
      <c r="L200" s="429">
        <f t="shared" si="69"/>
        <v>0</v>
      </c>
      <c r="M200" s="429">
        <f t="shared" si="69"/>
        <v>0</v>
      </c>
      <c r="N200" s="95"/>
    </row>
    <row r="201" spans="2:14" x14ac:dyDescent="0.2">
      <c r="B201" s="83"/>
      <c r="C201" s="198"/>
      <c r="D201" s="156"/>
      <c r="E201" s="156"/>
      <c r="F201" s="184"/>
      <c r="G201" s="199"/>
      <c r="H201" s="199"/>
      <c r="I201" s="199"/>
      <c r="J201" s="199"/>
      <c r="K201" s="199"/>
      <c r="L201" s="199"/>
      <c r="M201" s="199"/>
      <c r="N201" s="87"/>
    </row>
    <row r="202" spans="2:14" x14ac:dyDescent="0.2">
      <c r="B202" s="83"/>
      <c r="C202" s="97"/>
      <c r="D202" s="88"/>
      <c r="E202" s="88"/>
      <c r="F202" s="84"/>
      <c r="G202" s="110"/>
      <c r="H202" s="110"/>
      <c r="I202" s="110"/>
      <c r="J202" s="110"/>
      <c r="K202" s="110"/>
      <c r="L202" s="110"/>
      <c r="M202" s="110"/>
      <c r="N202" s="87"/>
    </row>
    <row r="203" spans="2:14" x14ac:dyDescent="0.2">
      <c r="B203" s="83"/>
      <c r="C203" s="200"/>
      <c r="D203" s="158"/>
      <c r="E203" s="158"/>
      <c r="F203" s="127"/>
      <c r="G203" s="233"/>
      <c r="H203" s="233"/>
      <c r="I203" s="233"/>
      <c r="J203" s="233"/>
      <c r="K203" s="233"/>
      <c r="L203" s="233"/>
      <c r="M203" s="233"/>
      <c r="N203" s="87"/>
    </row>
    <row r="204" spans="2:14" s="72" customFormat="1" x14ac:dyDescent="0.2">
      <c r="B204" s="94"/>
      <c r="C204" s="146"/>
      <c r="D204" s="488" t="s">
        <v>213</v>
      </c>
      <c r="E204" s="141"/>
      <c r="F204" s="195"/>
      <c r="G204" s="419"/>
      <c r="H204" s="419"/>
      <c r="I204" s="419"/>
      <c r="J204" s="419"/>
      <c r="K204" s="419"/>
      <c r="L204" s="419"/>
      <c r="M204" s="419"/>
      <c r="N204" s="95"/>
    </row>
    <row r="205" spans="2:14" x14ac:dyDescent="0.2">
      <c r="B205" s="83"/>
      <c r="C205" s="130"/>
      <c r="D205" s="131"/>
      <c r="E205" s="131"/>
      <c r="F205" s="188"/>
      <c r="G205" s="226"/>
      <c r="H205" s="226"/>
      <c r="I205" s="226"/>
      <c r="J205" s="226"/>
      <c r="K205" s="226"/>
      <c r="L205" s="226"/>
      <c r="M205" s="226"/>
      <c r="N205" s="87"/>
    </row>
    <row r="206" spans="2:14" x14ac:dyDescent="0.2">
      <c r="B206" s="83"/>
      <c r="C206" s="130"/>
      <c r="D206" s="736"/>
      <c r="E206" s="737"/>
      <c r="F206" s="188"/>
      <c r="G206" s="207">
        <v>0</v>
      </c>
      <c r="H206" s="207">
        <f t="shared" ref="H206:M215" si="70">G206</f>
        <v>0</v>
      </c>
      <c r="I206" s="207">
        <f t="shared" si="70"/>
        <v>0</v>
      </c>
      <c r="J206" s="207">
        <f t="shared" si="70"/>
        <v>0</v>
      </c>
      <c r="K206" s="207">
        <f t="shared" si="70"/>
        <v>0</v>
      </c>
      <c r="L206" s="207">
        <f t="shared" si="70"/>
        <v>0</v>
      </c>
      <c r="M206" s="207">
        <f t="shared" si="70"/>
        <v>0</v>
      </c>
      <c r="N206" s="87"/>
    </row>
    <row r="207" spans="2:14" x14ac:dyDescent="0.2">
      <c r="B207" s="83"/>
      <c r="C207" s="130"/>
      <c r="D207" s="736"/>
      <c r="E207" s="737"/>
      <c r="F207" s="188"/>
      <c r="G207" s="207">
        <v>0</v>
      </c>
      <c r="H207" s="207">
        <f t="shared" si="70"/>
        <v>0</v>
      </c>
      <c r="I207" s="207">
        <f t="shared" si="70"/>
        <v>0</v>
      </c>
      <c r="J207" s="207">
        <f t="shared" si="70"/>
        <v>0</v>
      </c>
      <c r="K207" s="207">
        <f t="shared" si="70"/>
        <v>0</v>
      </c>
      <c r="L207" s="207">
        <f t="shared" si="70"/>
        <v>0</v>
      </c>
      <c r="M207" s="207">
        <f t="shared" si="70"/>
        <v>0</v>
      </c>
      <c r="N207" s="87"/>
    </row>
    <row r="208" spans="2:14" x14ac:dyDescent="0.2">
      <c r="B208" s="83"/>
      <c r="C208" s="130"/>
      <c r="D208" s="736"/>
      <c r="E208" s="737"/>
      <c r="F208" s="188"/>
      <c r="G208" s="207">
        <v>0</v>
      </c>
      <c r="H208" s="207">
        <f t="shared" si="70"/>
        <v>0</v>
      </c>
      <c r="I208" s="207">
        <f t="shared" si="70"/>
        <v>0</v>
      </c>
      <c r="J208" s="207">
        <f t="shared" si="70"/>
        <v>0</v>
      </c>
      <c r="K208" s="207">
        <f t="shared" si="70"/>
        <v>0</v>
      </c>
      <c r="L208" s="207">
        <f t="shared" si="70"/>
        <v>0</v>
      </c>
      <c r="M208" s="207">
        <f t="shared" si="70"/>
        <v>0</v>
      </c>
      <c r="N208" s="87"/>
    </row>
    <row r="209" spans="2:14" x14ac:dyDescent="0.2">
      <c r="B209" s="83"/>
      <c r="C209" s="130"/>
      <c r="D209" s="736"/>
      <c r="E209" s="737"/>
      <c r="F209" s="188"/>
      <c r="G209" s="207">
        <v>0</v>
      </c>
      <c r="H209" s="207">
        <f t="shared" si="70"/>
        <v>0</v>
      </c>
      <c r="I209" s="207">
        <f t="shared" si="70"/>
        <v>0</v>
      </c>
      <c r="J209" s="207">
        <f t="shared" si="70"/>
        <v>0</v>
      </c>
      <c r="K209" s="207">
        <f t="shared" si="70"/>
        <v>0</v>
      </c>
      <c r="L209" s="207">
        <f t="shared" si="70"/>
        <v>0</v>
      </c>
      <c r="M209" s="207">
        <f t="shared" si="70"/>
        <v>0</v>
      </c>
      <c r="N209" s="87"/>
    </row>
    <row r="210" spans="2:14" x14ac:dyDescent="0.2">
      <c r="B210" s="83"/>
      <c r="C210" s="130"/>
      <c r="D210" s="736"/>
      <c r="E210" s="737"/>
      <c r="F210" s="188"/>
      <c r="G210" s="207">
        <v>0</v>
      </c>
      <c r="H210" s="207">
        <f t="shared" si="70"/>
        <v>0</v>
      </c>
      <c r="I210" s="207">
        <f t="shared" si="70"/>
        <v>0</v>
      </c>
      <c r="J210" s="207">
        <f t="shared" si="70"/>
        <v>0</v>
      </c>
      <c r="K210" s="207">
        <f t="shared" si="70"/>
        <v>0</v>
      </c>
      <c r="L210" s="207">
        <f t="shared" si="70"/>
        <v>0</v>
      </c>
      <c r="M210" s="207">
        <f t="shared" si="70"/>
        <v>0</v>
      </c>
      <c r="N210" s="87"/>
    </row>
    <row r="211" spans="2:14" x14ac:dyDescent="0.2">
      <c r="B211" s="83"/>
      <c r="C211" s="130"/>
      <c r="D211" s="736"/>
      <c r="E211" s="737"/>
      <c r="F211" s="188"/>
      <c r="G211" s="207">
        <v>0</v>
      </c>
      <c r="H211" s="207">
        <f t="shared" si="70"/>
        <v>0</v>
      </c>
      <c r="I211" s="207">
        <f t="shared" si="70"/>
        <v>0</v>
      </c>
      <c r="J211" s="207">
        <f t="shared" si="70"/>
        <v>0</v>
      </c>
      <c r="K211" s="207">
        <f t="shared" si="70"/>
        <v>0</v>
      </c>
      <c r="L211" s="207">
        <f t="shared" si="70"/>
        <v>0</v>
      </c>
      <c r="M211" s="207">
        <f t="shared" si="70"/>
        <v>0</v>
      </c>
      <c r="N211" s="87"/>
    </row>
    <row r="212" spans="2:14" x14ac:dyDescent="0.2">
      <c r="B212" s="83"/>
      <c r="C212" s="130"/>
      <c r="D212" s="736"/>
      <c r="E212" s="737"/>
      <c r="F212" s="188"/>
      <c r="G212" s="207">
        <v>0</v>
      </c>
      <c r="H212" s="207">
        <f t="shared" si="70"/>
        <v>0</v>
      </c>
      <c r="I212" s="207">
        <f t="shared" si="70"/>
        <v>0</v>
      </c>
      <c r="J212" s="207">
        <f t="shared" si="70"/>
        <v>0</v>
      </c>
      <c r="K212" s="207">
        <f t="shared" si="70"/>
        <v>0</v>
      </c>
      <c r="L212" s="207">
        <f t="shared" si="70"/>
        <v>0</v>
      </c>
      <c r="M212" s="207">
        <f t="shared" si="70"/>
        <v>0</v>
      </c>
      <c r="N212" s="87"/>
    </row>
    <row r="213" spans="2:14" x14ac:dyDescent="0.2">
      <c r="B213" s="83"/>
      <c r="C213" s="130"/>
      <c r="D213" s="736"/>
      <c r="E213" s="737"/>
      <c r="F213" s="188"/>
      <c r="G213" s="207">
        <v>0</v>
      </c>
      <c r="H213" s="207">
        <f t="shared" si="70"/>
        <v>0</v>
      </c>
      <c r="I213" s="207">
        <f t="shared" si="70"/>
        <v>0</v>
      </c>
      <c r="J213" s="207">
        <f t="shared" si="70"/>
        <v>0</v>
      </c>
      <c r="K213" s="207">
        <f t="shared" si="70"/>
        <v>0</v>
      </c>
      <c r="L213" s="207">
        <f t="shared" si="70"/>
        <v>0</v>
      </c>
      <c r="M213" s="207">
        <f t="shared" si="70"/>
        <v>0</v>
      </c>
      <c r="N213" s="87"/>
    </row>
    <row r="214" spans="2:14" x14ac:dyDescent="0.2">
      <c r="B214" s="83"/>
      <c r="C214" s="130"/>
      <c r="D214" s="736"/>
      <c r="E214" s="737"/>
      <c r="F214" s="188"/>
      <c r="G214" s="207">
        <v>0</v>
      </c>
      <c r="H214" s="207">
        <f t="shared" si="70"/>
        <v>0</v>
      </c>
      <c r="I214" s="207">
        <f t="shared" si="70"/>
        <v>0</v>
      </c>
      <c r="J214" s="207">
        <f t="shared" si="70"/>
        <v>0</v>
      </c>
      <c r="K214" s="207">
        <f t="shared" si="70"/>
        <v>0</v>
      </c>
      <c r="L214" s="207">
        <f t="shared" si="70"/>
        <v>0</v>
      </c>
      <c r="M214" s="207">
        <f t="shared" si="70"/>
        <v>0</v>
      </c>
      <c r="N214" s="87"/>
    </row>
    <row r="215" spans="2:14" x14ac:dyDescent="0.2">
      <c r="B215" s="83"/>
      <c r="C215" s="130"/>
      <c r="D215" s="736"/>
      <c r="E215" s="737"/>
      <c r="F215" s="188"/>
      <c r="G215" s="207">
        <v>0</v>
      </c>
      <c r="H215" s="207">
        <f t="shared" si="70"/>
        <v>0</v>
      </c>
      <c r="I215" s="207">
        <f t="shared" si="70"/>
        <v>0</v>
      </c>
      <c r="J215" s="207">
        <f t="shared" si="70"/>
        <v>0</v>
      </c>
      <c r="K215" s="207">
        <f t="shared" si="70"/>
        <v>0</v>
      </c>
      <c r="L215" s="207">
        <f t="shared" si="70"/>
        <v>0</v>
      </c>
      <c r="M215" s="207">
        <f t="shared" si="70"/>
        <v>0</v>
      </c>
      <c r="N215" s="87"/>
    </row>
    <row r="216" spans="2:14" x14ac:dyDescent="0.2">
      <c r="B216" s="83"/>
      <c r="C216" s="130"/>
      <c r="D216" s="188"/>
      <c r="E216" s="188"/>
      <c r="F216" s="188"/>
      <c r="G216" s="189"/>
      <c r="H216" s="189"/>
      <c r="I216" s="189"/>
      <c r="J216" s="189"/>
      <c r="K216" s="189"/>
      <c r="L216" s="189"/>
      <c r="M216" s="189"/>
      <c r="N216" s="87"/>
    </row>
    <row r="217" spans="2:14" s="72" customFormat="1" x14ac:dyDescent="0.2">
      <c r="B217" s="94"/>
      <c r="C217" s="146"/>
      <c r="D217" s="197" t="s">
        <v>168</v>
      </c>
      <c r="E217" s="197"/>
      <c r="F217" s="195"/>
      <c r="G217" s="429">
        <f t="shared" ref="G217:M217" si="71">SUM(G206:G215)</f>
        <v>0</v>
      </c>
      <c r="H217" s="429">
        <f t="shared" si="71"/>
        <v>0</v>
      </c>
      <c r="I217" s="429">
        <f t="shared" si="71"/>
        <v>0</v>
      </c>
      <c r="J217" s="429">
        <f t="shared" si="71"/>
        <v>0</v>
      </c>
      <c r="K217" s="429">
        <f t="shared" si="71"/>
        <v>0</v>
      </c>
      <c r="L217" s="429">
        <f t="shared" si="71"/>
        <v>0</v>
      </c>
      <c r="M217" s="429">
        <f t="shared" si="71"/>
        <v>0</v>
      </c>
      <c r="N217" s="95"/>
    </row>
    <row r="218" spans="2:14" x14ac:dyDescent="0.2">
      <c r="B218" s="83"/>
      <c r="C218" s="198"/>
      <c r="D218" s="156"/>
      <c r="E218" s="156"/>
      <c r="F218" s="184"/>
      <c r="G218" s="232"/>
      <c r="H218" s="232"/>
      <c r="I218" s="232"/>
      <c r="J218" s="232"/>
      <c r="K218" s="232"/>
      <c r="L218" s="232"/>
      <c r="M218" s="232"/>
      <c r="N218" s="87"/>
    </row>
    <row r="219" spans="2:14" x14ac:dyDescent="0.2">
      <c r="B219" s="83"/>
      <c r="C219" s="97"/>
      <c r="D219" s="88"/>
      <c r="E219" s="88"/>
      <c r="F219" s="84"/>
      <c r="G219" s="110"/>
      <c r="H219" s="110"/>
      <c r="I219" s="110"/>
      <c r="J219" s="110"/>
      <c r="K219" s="110"/>
      <c r="L219" s="110"/>
      <c r="M219" s="110"/>
      <c r="N219" s="87"/>
    </row>
    <row r="220" spans="2:14" x14ac:dyDescent="0.2">
      <c r="B220" s="83"/>
      <c r="C220" s="200"/>
      <c r="D220" s="158"/>
      <c r="E220" s="158"/>
      <c r="F220" s="127"/>
      <c r="G220" s="233"/>
      <c r="H220" s="233"/>
      <c r="I220" s="233"/>
      <c r="J220" s="233"/>
      <c r="K220" s="233"/>
      <c r="L220" s="233"/>
      <c r="M220" s="233"/>
      <c r="N220" s="87"/>
    </row>
    <row r="221" spans="2:14" s="72" customFormat="1" x14ac:dyDescent="0.2">
      <c r="B221" s="94"/>
      <c r="C221" s="146"/>
      <c r="D221" s="488" t="s">
        <v>214</v>
      </c>
      <c r="E221" s="141"/>
      <c r="F221" s="195"/>
      <c r="G221" s="419"/>
      <c r="H221" s="419"/>
      <c r="I221" s="419"/>
      <c r="J221" s="419"/>
      <c r="K221" s="419"/>
      <c r="L221" s="419"/>
      <c r="M221" s="419"/>
      <c r="N221" s="95"/>
    </row>
    <row r="222" spans="2:14" x14ac:dyDescent="0.2">
      <c r="B222" s="83"/>
      <c r="C222" s="130"/>
      <c r="D222" s="131"/>
      <c r="E222" s="131"/>
      <c r="F222" s="188"/>
      <c r="G222" s="226"/>
      <c r="H222" s="226"/>
      <c r="I222" s="226"/>
      <c r="J222" s="226"/>
      <c r="K222" s="226"/>
      <c r="L222" s="226"/>
      <c r="M222" s="226"/>
      <c r="N222" s="87"/>
    </row>
    <row r="223" spans="2:14" x14ac:dyDescent="0.2">
      <c r="B223" s="83"/>
      <c r="C223" s="130"/>
      <c r="D223" s="196" t="s">
        <v>192</v>
      </c>
      <c r="E223" s="196"/>
      <c r="F223" s="188"/>
      <c r="G223" s="207">
        <v>0</v>
      </c>
      <c r="H223" s="207">
        <f t="shared" ref="H223:M228" si="72">G223</f>
        <v>0</v>
      </c>
      <c r="I223" s="207">
        <f t="shared" si="72"/>
        <v>0</v>
      </c>
      <c r="J223" s="207">
        <f t="shared" si="72"/>
        <v>0</v>
      </c>
      <c r="K223" s="207">
        <f t="shared" si="72"/>
        <v>0</v>
      </c>
      <c r="L223" s="207">
        <f t="shared" si="72"/>
        <v>0</v>
      </c>
      <c r="M223" s="207">
        <f t="shared" si="72"/>
        <v>0</v>
      </c>
      <c r="N223" s="87"/>
    </row>
    <row r="224" spans="2:14" x14ac:dyDescent="0.2">
      <c r="B224" s="83"/>
      <c r="C224" s="130"/>
      <c r="D224" s="196" t="s">
        <v>193</v>
      </c>
      <c r="E224" s="196"/>
      <c r="F224" s="188"/>
      <c r="G224" s="207">
        <v>0</v>
      </c>
      <c r="H224" s="207">
        <f t="shared" si="72"/>
        <v>0</v>
      </c>
      <c r="I224" s="207">
        <f t="shared" si="72"/>
        <v>0</v>
      </c>
      <c r="J224" s="207">
        <f t="shared" si="72"/>
        <v>0</v>
      </c>
      <c r="K224" s="207">
        <f t="shared" si="72"/>
        <v>0</v>
      </c>
      <c r="L224" s="207">
        <f t="shared" si="72"/>
        <v>0</v>
      </c>
      <c r="M224" s="207">
        <f t="shared" si="72"/>
        <v>0</v>
      </c>
      <c r="N224" s="87"/>
    </row>
    <row r="225" spans="2:14" x14ac:dyDescent="0.2">
      <c r="B225" s="83"/>
      <c r="C225" s="130"/>
      <c r="D225" s="196" t="s">
        <v>194</v>
      </c>
      <c r="E225" s="196"/>
      <c r="F225" s="188"/>
      <c r="G225" s="207">
        <v>0</v>
      </c>
      <c r="H225" s="207">
        <f t="shared" si="72"/>
        <v>0</v>
      </c>
      <c r="I225" s="207">
        <f t="shared" si="72"/>
        <v>0</v>
      </c>
      <c r="J225" s="207">
        <f t="shared" si="72"/>
        <v>0</v>
      </c>
      <c r="K225" s="207">
        <f t="shared" si="72"/>
        <v>0</v>
      </c>
      <c r="L225" s="207">
        <f t="shared" si="72"/>
        <v>0</v>
      </c>
      <c r="M225" s="207">
        <f t="shared" si="72"/>
        <v>0</v>
      </c>
      <c r="N225" s="87"/>
    </row>
    <row r="226" spans="2:14" x14ac:dyDescent="0.2">
      <c r="B226" s="83"/>
      <c r="C226" s="130"/>
      <c r="D226" s="196" t="s">
        <v>195</v>
      </c>
      <c r="E226" s="196"/>
      <c r="F226" s="188"/>
      <c r="G226" s="207">
        <v>0</v>
      </c>
      <c r="H226" s="207">
        <f t="shared" si="72"/>
        <v>0</v>
      </c>
      <c r="I226" s="207">
        <f t="shared" si="72"/>
        <v>0</v>
      </c>
      <c r="J226" s="207">
        <f t="shared" si="72"/>
        <v>0</v>
      </c>
      <c r="K226" s="207">
        <f t="shared" si="72"/>
        <v>0</v>
      </c>
      <c r="L226" s="207">
        <f t="shared" si="72"/>
        <v>0</v>
      </c>
      <c r="M226" s="207">
        <f t="shared" si="72"/>
        <v>0</v>
      </c>
      <c r="N226" s="87"/>
    </row>
    <row r="227" spans="2:14" x14ac:dyDescent="0.2">
      <c r="B227" s="83"/>
      <c r="C227" s="130"/>
      <c r="D227" s="196" t="s">
        <v>196</v>
      </c>
      <c r="E227" s="196"/>
      <c r="F227" s="188"/>
      <c r="G227" s="207">
        <v>0</v>
      </c>
      <c r="H227" s="207">
        <f t="shared" si="72"/>
        <v>0</v>
      </c>
      <c r="I227" s="207">
        <f t="shared" si="72"/>
        <v>0</v>
      </c>
      <c r="J227" s="207">
        <f t="shared" si="72"/>
        <v>0</v>
      </c>
      <c r="K227" s="207">
        <f t="shared" si="72"/>
        <v>0</v>
      </c>
      <c r="L227" s="207">
        <f t="shared" si="72"/>
        <v>0</v>
      </c>
      <c r="M227" s="207">
        <f t="shared" si="72"/>
        <v>0</v>
      </c>
      <c r="N227" s="87"/>
    </row>
    <row r="228" spans="2:14" x14ac:dyDescent="0.2">
      <c r="B228" s="83"/>
      <c r="C228" s="130"/>
      <c r="D228" s="196" t="s">
        <v>197</v>
      </c>
      <c r="E228" s="196"/>
      <c r="F228" s="188"/>
      <c r="G228" s="207">
        <v>0</v>
      </c>
      <c r="H228" s="207">
        <f t="shared" si="72"/>
        <v>0</v>
      </c>
      <c r="I228" s="207">
        <f t="shared" si="72"/>
        <v>0</v>
      </c>
      <c r="J228" s="207">
        <f t="shared" si="72"/>
        <v>0</v>
      </c>
      <c r="K228" s="207">
        <f t="shared" si="72"/>
        <v>0</v>
      </c>
      <c r="L228" s="207">
        <f t="shared" si="72"/>
        <v>0</v>
      </c>
      <c r="M228" s="207">
        <f t="shared" si="72"/>
        <v>0</v>
      </c>
      <c r="N228" s="87"/>
    </row>
    <row r="229" spans="2:14" x14ac:dyDescent="0.2">
      <c r="B229" s="83"/>
      <c r="C229" s="130"/>
      <c r="D229" s="131"/>
      <c r="E229" s="131"/>
      <c r="F229" s="188"/>
      <c r="G229" s="189"/>
      <c r="H229" s="189"/>
      <c r="I229" s="189"/>
      <c r="J229" s="189"/>
      <c r="K229" s="189"/>
      <c r="L229" s="189"/>
      <c r="M229" s="189"/>
      <c r="N229" s="87"/>
    </row>
    <row r="230" spans="2:14" s="72" customFormat="1" x14ac:dyDescent="0.2">
      <c r="B230" s="94"/>
      <c r="C230" s="146"/>
      <c r="D230" s="197" t="s">
        <v>168</v>
      </c>
      <c r="E230" s="197"/>
      <c r="F230" s="195"/>
      <c r="G230" s="429">
        <f t="shared" ref="G230" si="73">SUM(G223:G228)</f>
        <v>0</v>
      </c>
      <c r="H230" s="429">
        <f t="shared" ref="H230:M230" si="74">SUM(H223:H228)</f>
        <v>0</v>
      </c>
      <c r="I230" s="429">
        <f t="shared" si="74"/>
        <v>0</v>
      </c>
      <c r="J230" s="429">
        <f t="shared" si="74"/>
        <v>0</v>
      </c>
      <c r="K230" s="429">
        <f t="shared" si="74"/>
        <v>0</v>
      </c>
      <c r="L230" s="429">
        <f t="shared" si="74"/>
        <v>0</v>
      </c>
      <c r="M230" s="429">
        <f t="shared" si="74"/>
        <v>0</v>
      </c>
      <c r="N230" s="95"/>
    </row>
    <row r="231" spans="2:14" x14ac:dyDescent="0.2">
      <c r="B231" s="83"/>
      <c r="C231" s="198"/>
      <c r="D231" s="156"/>
      <c r="E231" s="156"/>
      <c r="F231" s="184"/>
      <c r="G231" s="199"/>
      <c r="H231" s="199"/>
      <c r="I231" s="199"/>
      <c r="J231" s="199"/>
      <c r="K231" s="199"/>
      <c r="L231" s="199"/>
      <c r="M231" s="199"/>
      <c r="N231" s="87"/>
    </row>
    <row r="232" spans="2:14" x14ac:dyDescent="0.2">
      <c r="B232" s="83"/>
      <c r="C232" s="97"/>
      <c r="D232" s="88"/>
      <c r="E232" s="88"/>
      <c r="F232" s="84"/>
      <c r="G232" s="110"/>
      <c r="H232" s="110"/>
      <c r="I232" s="110"/>
      <c r="J232" s="110"/>
      <c r="K232" s="110"/>
      <c r="L232" s="110"/>
      <c r="M232" s="110"/>
      <c r="N232" s="87"/>
    </row>
    <row r="233" spans="2:14" x14ac:dyDescent="0.2">
      <c r="B233" s="83"/>
      <c r="C233" s="200"/>
      <c r="D233" s="158"/>
      <c r="E233" s="158"/>
      <c r="F233" s="127"/>
      <c r="G233" s="201"/>
      <c r="H233" s="201"/>
      <c r="I233" s="201"/>
      <c r="J233" s="201"/>
      <c r="K233" s="201"/>
      <c r="L233" s="201"/>
      <c r="M233" s="201"/>
      <c r="N233" s="87"/>
    </row>
    <row r="234" spans="2:14" x14ac:dyDescent="0.2">
      <c r="B234" s="83"/>
      <c r="C234" s="147"/>
      <c r="D234" s="488" t="s">
        <v>169</v>
      </c>
      <c r="E234" s="141"/>
      <c r="F234" s="132"/>
      <c r="G234" s="427">
        <f t="shared" ref="G234:M234" si="75">G200+G217+G230</f>
        <v>0</v>
      </c>
      <c r="H234" s="427">
        <f t="shared" si="75"/>
        <v>0</v>
      </c>
      <c r="I234" s="427">
        <f t="shared" si="75"/>
        <v>0</v>
      </c>
      <c r="J234" s="427">
        <f t="shared" si="75"/>
        <v>0</v>
      </c>
      <c r="K234" s="427">
        <f t="shared" si="75"/>
        <v>0</v>
      </c>
      <c r="L234" s="427">
        <f t="shared" si="75"/>
        <v>0</v>
      </c>
      <c r="M234" s="427">
        <f t="shared" si="75"/>
        <v>0</v>
      </c>
      <c r="N234" s="87"/>
    </row>
    <row r="235" spans="2:14" x14ac:dyDescent="0.2">
      <c r="B235" s="83"/>
      <c r="C235" s="198"/>
      <c r="D235" s="156"/>
      <c r="E235" s="156"/>
      <c r="F235" s="184"/>
      <c r="G235" s="199"/>
      <c r="H235" s="199"/>
      <c r="I235" s="199"/>
      <c r="J235" s="199"/>
      <c r="K235" s="199"/>
      <c r="L235" s="199"/>
      <c r="M235" s="199"/>
      <c r="N235" s="87"/>
    </row>
    <row r="236" spans="2:14" x14ac:dyDescent="0.2">
      <c r="B236" s="83"/>
      <c r="C236" s="97"/>
      <c r="D236" s="88"/>
      <c r="E236" s="88"/>
      <c r="F236" s="84"/>
      <c r="G236" s="110"/>
      <c r="H236" s="110"/>
      <c r="I236" s="110"/>
      <c r="J236" s="110"/>
      <c r="K236" s="110"/>
      <c r="L236" s="110"/>
      <c r="M236" s="110"/>
      <c r="N236" s="87"/>
    </row>
    <row r="237" spans="2:14" x14ac:dyDescent="0.2">
      <c r="B237" s="101"/>
      <c r="C237" s="102"/>
      <c r="D237" s="109"/>
      <c r="E237" s="109"/>
      <c r="F237" s="102"/>
      <c r="G237" s="102"/>
      <c r="H237" s="102"/>
      <c r="I237" s="102"/>
      <c r="J237" s="102"/>
      <c r="K237" s="102"/>
      <c r="L237" s="102"/>
      <c r="M237" s="102"/>
      <c r="N237" s="103"/>
    </row>
    <row r="238" spans="2:14" x14ac:dyDescent="0.2">
      <c r="B238" s="78"/>
      <c r="C238" s="116"/>
      <c r="D238" s="113"/>
      <c r="E238" s="113"/>
      <c r="F238" s="79"/>
      <c r="G238" s="117"/>
      <c r="H238" s="117"/>
      <c r="I238" s="117"/>
      <c r="J238" s="117"/>
      <c r="K238" s="117"/>
      <c r="L238" s="117"/>
      <c r="M238" s="117"/>
      <c r="N238" s="82"/>
    </row>
    <row r="239" spans="2:14" x14ac:dyDescent="0.2">
      <c r="B239" s="83"/>
      <c r="C239" s="97"/>
      <c r="D239" s="88"/>
      <c r="E239" s="88"/>
      <c r="F239" s="84"/>
      <c r="G239" s="110"/>
      <c r="H239" s="110"/>
      <c r="I239" s="110"/>
      <c r="J239" s="110"/>
      <c r="K239" s="110"/>
      <c r="L239" s="110"/>
      <c r="M239" s="110"/>
      <c r="N239" s="87"/>
    </row>
    <row r="240" spans="2:14" s="394" customFormat="1" ht="18.75" x14ac:dyDescent="0.3">
      <c r="B240" s="391"/>
      <c r="C240" s="121" t="s">
        <v>142</v>
      </c>
      <c r="D240" s="106"/>
      <c r="E240" s="106"/>
      <c r="F240" s="105"/>
      <c r="G240" s="360"/>
      <c r="H240" s="360"/>
      <c r="I240" s="360"/>
      <c r="J240" s="360"/>
      <c r="K240" s="360"/>
      <c r="L240" s="360"/>
      <c r="M240" s="360"/>
      <c r="N240" s="393"/>
    </row>
    <row r="241" spans="2:14" ht="15.75" x14ac:dyDescent="0.25">
      <c r="B241" s="83"/>
      <c r="C241" s="492" t="str">
        <f>IF(G13="","",G13)</f>
        <v/>
      </c>
      <c r="D241" s="88"/>
      <c r="E241" s="88"/>
      <c r="F241" s="84"/>
      <c r="G241" s="110"/>
      <c r="H241" s="110"/>
      <c r="I241" s="110"/>
      <c r="J241" s="110"/>
      <c r="K241" s="110"/>
      <c r="L241" s="110"/>
      <c r="M241" s="110"/>
      <c r="N241" s="87"/>
    </row>
    <row r="242" spans="2:14" x14ac:dyDescent="0.2">
      <c r="B242" s="83"/>
      <c r="C242" s="97"/>
      <c r="D242" s="88"/>
      <c r="E242" s="88"/>
      <c r="F242" s="84"/>
      <c r="G242" s="110"/>
      <c r="H242" s="110"/>
      <c r="I242" s="110"/>
      <c r="J242" s="110"/>
      <c r="K242" s="110"/>
      <c r="L242" s="110"/>
      <c r="M242" s="110"/>
      <c r="N242" s="87"/>
    </row>
    <row r="243" spans="2:14" x14ac:dyDescent="0.2">
      <c r="B243" s="83"/>
      <c r="C243" s="97"/>
      <c r="D243" s="93"/>
      <c r="E243" s="93"/>
      <c r="F243" s="85"/>
      <c r="G243" s="482">
        <f t="shared" ref="G243:M243" si="76">G9</f>
        <v>2016</v>
      </c>
      <c r="H243" s="482">
        <f t="shared" si="76"/>
        <v>2017</v>
      </c>
      <c r="I243" s="482">
        <f t="shared" si="76"/>
        <v>2018</v>
      </c>
      <c r="J243" s="482">
        <f t="shared" si="76"/>
        <v>2019</v>
      </c>
      <c r="K243" s="482">
        <f t="shared" si="76"/>
        <v>2020</v>
      </c>
      <c r="L243" s="482">
        <f t="shared" si="76"/>
        <v>2021</v>
      </c>
      <c r="M243" s="482">
        <f t="shared" si="76"/>
        <v>2022</v>
      </c>
      <c r="N243" s="456"/>
    </row>
    <row r="244" spans="2:14" x14ac:dyDescent="0.2">
      <c r="B244" s="83"/>
      <c r="C244" s="97"/>
      <c r="D244" s="88"/>
      <c r="E244" s="88"/>
      <c r="F244" s="84"/>
      <c r="G244" s="110"/>
      <c r="H244" s="110"/>
      <c r="I244" s="110"/>
      <c r="J244" s="110"/>
      <c r="K244" s="110"/>
      <c r="L244" s="110"/>
      <c r="M244" s="110"/>
      <c r="N244" s="87"/>
    </row>
    <row r="245" spans="2:14" x14ac:dyDescent="0.2">
      <c r="B245" s="83"/>
      <c r="C245" s="200"/>
      <c r="D245" s="158"/>
      <c r="E245" s="158"/>
      <c r="F245" s="127"/>
      <c r="G245" s="233"/>
      <c r="H245" s="233"/>
      <c r="I245" s="233"/>
      <c r="J245" s="233"/>
      <c r="K245" s="233"/>
      <c r="L245" s="233"/>
      <c r="M245" s="233"/>
      <c r="N245" s="87"/>
    </row>
    <row r="246" spans="2:14" x14ac:dyDescent="0.2">
      <c r="B246" s="83"/>
      <c r="C246" s="147"/>
      <c r="D246" s="488" t="s">
        <v>224</v>
      </c>
      <c r="E246" s="131"/>
      <c r="F246" s="132"/>
      <c r="G246" s="234"/>
      <c r="H246" s="234"/>
      <c r="I246" s="234"/>
      <c r="J246" s="234"/>
      <c r="K246" s="234"/>
      <c r="L246" s="234"/>
      <c r="M246" s="234"/>
      <c r="N246" s="87"/>
    </row>
    <row r="247" spans="2:14" x14ac:dyDescent="0.2">
      <c r="B247" s="83"/>
      <c r="C247" s="147"/>
      <c r="D247" s="131"/>
      <c r="E247" s="131"/>
      <c r="F247" s="132"/>
      <c r="G247" s="234"/>
      <c r="H247" s="234"/>
      <c r="I247" s="234"/>
      <c r="J247" s="234"/>
      <c r="K247" s="234"/>
      <c r="L247" s="234"/>
      <c r="M247" s="234"/>
      <c r="N247" s="87"/>
    </row>
    <row r="248" spans="2:14" x14ac:dyDescent="0.2">
      <c r="B248" s="83"/>
      <c r="C248" s="147"/>
      <c r="D248" s="141" t="s">
        <v>139</v>
      </c>
      <c r="E248" s="141"/>
      <c r="F248" s="132"/>
      <c r="G248" s="234"/>
      <c r="H248" s="234"/>
      <c r="I248" s="234"/>
      <c r="J248" s="234"/>
      <c r="K248" s="234"/>
      <c r="L248" s="234"/>
      <c r="M248" s="234"/>
      <c r="N248" s="87"/>
    </row>
    <row r="249" spans="2:14" x14ac:dyDescent="0.2">
      <c r="B249" s="83"/>
      <c r="C249" s="147"/>
      <c r="D249" s="131" t="s">
        <v>2</v>
      </c>
      <c r="E249" s="131"/>
      <c r="F249" s="132"/>
      <c r="G249" s="209">
        <v>0</v>
      </c>
      <c r="H249" s="358">
        <f>H141</f>
        <v>0</v>
      </c>
      <c r="I249" s="358">
        <f t="shared" ref="I249:M249" si="77">I141</f>
        <v>0</v>
      </c>
      <c r="J249" s="358">
        <f t="shared" si="77"/>
        <v>0</v>
      </c>
      <c r="K249" s="358">
        <f t="shared" si="77"/>
        <v>0</v>
      </c>
      <c r="L249" s="358">
        <f t="shared" si="77"/>
        <v>0</v>
      </c>
      <c r="M249" s="358">
        <f t="shared" si="77"/>
        <v>0</v>
      </c>
      <c r="N249" s="87"/>
    </row>
    <row r="250" spans="2:14" x14ac:dyDescent="0.2">
      <c r="B250" s="83"/>
      <c r="C250" s="146"/>
      <c r="D250" s="131" t="s">
        <v>151</v>
      </c>
      <c r="E250" s="131"/>
      <c r="F250" s="148"/>
      <c r="G250" s="209">
        <v>0</v>
      </c>
      <c r="H250" s="435">
        <f t="shared" ref="H250:M250" si="78">H153</f>
        <v>0</v>
      </c>
      <c r="I250" s="435">
        <f t="shared" si="78"/>
        <v>0</v>
      </c>
      <c r="J250" s="435">
        <f t="shared" si="78"/>
        <v>0</v>
      </c>
      <c r="K250" s="435">
        <f t="shared" si="78"/>
        <v>0</v>
      </c>
      <c r="L250" s="435">
        <f t="shared" si="78"/>
        <v>0</v>
      </c>
      <c r="M250" s="435">
        <f t="shared" si="78"/>
        <v>0</v>
      </c>
      <c r="N250" s="87"/>
    </row>
    <row r="251" spans="2:14" x14ac:dyDescent="0.2">
      <c r="B251" s="83"/>
      <c r="C251" s="146"/>
      <c r="D251" s="131" t="s">
        <v>0</v>
      </c>
      <c r="E251" s="131"/>
      <c r="F251" s="148"/>
      <c r="G251" s="209">
        <v>0</v>
      </c>
      <c r="H251" s="435">
        <f t="shared" ref="H251:M251" si="79">H165</f>
        <v>0</v>
      </c>
      <c r="I251" s="435">
        <f t="shared" si="79"/>
        <v>0</v>
      </c>
      <c r="J251" s="435">
        <f t="shared" si="79"/>
        <v>0</v>
      </c>
      <c r="K251" s="435">
        <f t="shared" si="79"/>
        <v>0</v>
      </c>
      <c r="L251" s="435">
        <f t="shared" si="79"/>
        <v>0</v>
      </c>
      <c r="M251" s="435">
        <f t="shared" si="79"/>
        <v>0</v>
      </c>
      <c r="N251" s="87"/>
    </row>
    <row r="252" spans="2:14" x14ac:dyDescent="0.2">
      <c r="B252" s="83"/>
      <c r="C252" s="147"/>
      <c r="D252" s="141"/>
      <c r="E252" s="141"/>
      <c r="F252" s="132"/>
      <c r="G252" s="362">
        <f t="shared" ref="G252" si="80">SUM(G249:G251)</f>
        <v>0</v>
      </c>
      <c r="H252" s="362">
        <f t="shared" ref="H252:M252" si="81">SUM(H249:H251)</f>
        <v>0</v>
      </c>
      <c r="I252" s="362">
        <f t="shared" si="81"/>
        <v>0</v>
      </c>
      <c r="J252" s="362">
        <f t="shared" si="81"/>
        <v>0</v>
      </c>
      <c r="K252" s="362">
        <f t="shared" si="81"/>
        <v>0</v>
      </c>
      <c r="L252" s="362">
        <f t="shared" si="81"/>
        <v>0</v>
      </c>
      <c r="M252" s="362">
        <f t="shared" si="81"/>
        <v>0</v>
      </c>
      <c r="N252" s="87"/>
    </row>
    <row r="253" spans="2:14" x14ac:dyDescent="0.2">
      <c r="B253" s="83"/>
      <c r="C253" s="203"/>
      <c r="D253" s="141" t="s">
        <v>140</v>
      </c>
      <c r="E253" s="141"/>
      <c r="F253" s="148"/>
      <c r="G253" s="202"/>
      <c r="H253" s="202"/>
      <c r="I253" s="202"/>
      <c r="J253" s="202"/>
      <c r="K253" s="202"/>
      <c r="L253" s="202"/>
      <c r="M253" s="202"/>
      <c r="N253" s="87"/>
    </row>
    <row r="254" spans="2:14" x14ac:dyDescent="0.2">
      <c r="B254" s="83"/>
      <c r="C254" s="130"/>
      <c r="D254" s="185" t="s">
        <v>101</v>
      </c>
      <c r="E254" s="185"/>
      <c r="F254" s="132"/>
      <c r="G254" s="209">
        <v>0</v>
      </c>
      <c r="H254" s="358">
        <f t="shared" ref="H254:M254" si="82">H190</f>
        <v>0</v>
      </c>
      <c r="I254" s="358">
        <f t="shared" si="82"/>
        <v>0</v>
      </c>
      <c r="J254" s="358">
        <f t="shared" si="82"/>
        <v>0</v>
      </c>
      <c r="K254" s="358">
        <f t="shared" si="82"/>
        <v>0</v>
      </c>
      <c r="L254" s="358">
        <f t="shared" si="82"/>
        <v>0</v>
      </c>
      <c r="M254" s="358">
        <f t="shared" si="82"/>
        <v>0</v>
      </c>
      <c r="N254" s="87"/>
    </row>
    <row r="255" spans="2:14" x14ac:dyDescent="0.2">
      <c r="B255" s="83"/>
      <c r="C255" s="130"/>
      <c r="D255" s="131" t="s">
        <v>73</v>
      </c>
      <c r="E255" s="131"/>
      <c r="F255" s="132"/>
      <c r="G255" s="209">
        <v>0</v>
      </c>
      <c r="H255" s="358">
        <f t="shared" ref="H255:M255" si="83">H200</f>
        <v>0</v>
      </c>
      <c r="I255" s="358">
        <f t="shared" si="83"/>
        <v>0</v>
      </c>
      <c r="J255" s="358">
        <f t="shared" si="83"/>
        <v>0</v>
      </c>
      <c r="K255" s="358">
        <f t="shared" si="83"/>
        <v>0</v>
      </c>
      <c r="L255" s="358">
        <f t="shared" si="83"/>
        <v>0</v>
      </c>
      <c r="M255" s="358">
        <f t="shared" si="83"/>
        <v>0</v>
      </c>
      <c r="N255" s="87"/>
    </row>
    <row r="256" spans="2:14" x14ac:dyDescent="0.2">
      <c r="B256" s="83"/>
      <c r="C256" s="130"/>
      <c r="D256" s="131" t="s">
        <v>74</v>
      </c>
      <c r="E256" s="131"/>
      <c r="F256" s="132"/>
      <c r="G256" s="209">
        <v>0</v>
      </c>
      <c r="H256" s="358">
        <f t="shared" ref="H256:M256" si="84">H217</f>
        <v>0</v>
      </c>
      <c r="I256" s="358">
        <f t="shared" si="84"/>
        <v>0</v>
      </c>
      <c r="J256" s="358">
        <f t="shared" si="84"/>
        <v>0</v>
      </c>
      <c r="K256" s="358">
        <f t="shared" si="84"/>
        <v>0</v>
      </c>
      <c r="L256" s="358">
        <f t="shared" si="84"/>
        <v>0</v>
      </c>
      <c r="M256" s="358">
        <f t="shared" si="84"/>
        <v>0</v>
      </c>
      <c r="N256" s="87"/>
    </row>
    <row r="257" spans="2:14" x14ac:dyDescent="0.2">
      <c r="B257" s="83"/>
      <c r="C257" s="130"/>
      <c r="D257" s="131" t="s">
        <v>72</v>
      </c>
      <c r="E257" s="131"/>
      <c r="F257" s="132"/>
      <c r="G257" s="209">
        <v>0</v>
      </c>
      <c r="H257" s="358">
        <f t="shared" ref="H257:M257" si="85">H230</f>
        <v>0</v>
      </c>
      <c r="I257" s="358">
        <f t="shared" si="85"/>
        <v>0</v>
      </c>
      <c r="J257" s="358">
        <f t="shared" si="85"/>
        <v>0</v>
      </c>
      <c r="K257" s="358">
        <f t="shared" si="85"/>
        <v>0</v>
      </c>
      <c r="L257" s="358">
        <f t="shared" si="85"/>
        <v>0</v>
      </c>
      <c r="M257" s="358">
        <f t="shared" si="85"/>
        <v>0</v>
      </c>
      <c r="N257" s="87"/>
    </row>
    <row r="258" spans="2:14" x14ac:dyDescent="0.2">
      <c r="B258" s="83"/>
      <c r="C258" s="130"/>
      <c r="D258" s="141"/>
      <c r="E258" s="141"/>
      <c r="F258" s="132"/>
      <c r="G258" s="362">
        <f t="shared" ref="G258" si="86">SUM(G254:G257)</f>
        <v>0</v>
      </c>
      <c r="H258" s="362">
        <f t="shared" ref="H258:M258" si="87">SUM(H254:H257)</f>
        <v>0</v>
      </c>
      <c r="I258" s="362">
        <f t="shared" si="87"/>
        <v>0</v>
      </c>
      <c r="J258" s="362">
        <f t="shared" si="87"/>
        <v>0</v>
      </c>
      <c r="K258" s="362">
        <f t="shared" si="87"/>
        <v>0</v>
      </c>
      <c r="L258" s="362">
        <f t="shared" si="87"/>
        <v>0</v>
      </c>
      <c r="M258" s="362">
        <f t="shared" si="87"/>
        <v>0</v>
      </c>
      <c r="N258" s="87"/>
    </row>
    <row r="259" spans="2:14" x14ac:dyDescent="0.2">
      <c r="B259" s="83"/>
      <c r="C259" s="130"/>
      <c r="D259" s="144"/>
      <c r="E259" s="144"/>
      <c r="F259" s="164"/>
      <c r="G259" s="169"/>
      <c r="H259" s="169"/>
      <c r="I259" s="169"/>
      <c r="J259" s="169"/>
      <c r="K259" s="169"/>
      <c r="L259" s="169"/>
      <c r="M259" s="169"/>
      <c r="N259" s="87"/>
    </row>
    <row r="260" spans="2:14" x14ac:dyDescent="0.2">
      <c r="B260" s="83"/>
      <c r="C260" s="146"/>
      <c r="D260" s="141" t="s">
        <v>138</v>
      </c>
      <c r="E260" s="141"/>
      <c r="F260" s="164"/>
      <c r="G260" s="362">
        <f t="shared" ref="G260:M260" si="88">G252-G258</f>
        <v>0</v>
      </c>
      <c r="H260" s="362">
        <f t="shared" si="88"/>
        <v>0</v>
      </c>
      <c r="I260" s="362">
        <f t="shared" si="88"/>
        <v>0</v>
      </c>
      <c r="J260" s="362">
        <f t="shared" si="88"/>
        <v>0</v>
      </c>
      <c r="K260" s="362">
        <f t="shared" si="88"/>
        <v>0</v>
      </c>
      <c r="L260" s="362">
        <f t="shared" si="88"/>
        <v>0</v>
      </c>
      <c r="M260" s="362">
        <f t="shared" si="88"/>
        <v>0</v>
      </c>
      <c r="N260" s="87"/>
    </row>
    <row r="261" spans="2:14" x14ac:dyDescent="0.2">
      <c r="B261" s="83"/>
      <c r="C261" s="155"/>
      <c r="D261" s="204"/>
      <c r="E261" s="204"/>
      <c r="F261" s="205"/>
      <c r="G261" s="206"/>
      <c r="H261" s="206"/>
      <c r="I261" s="206"/>
      <c r="J261" s="206"/>
      <c r="K261" s="206"/>
      <c r="L261" s="206"/>
      <c r="M261" s="206"/>
      <c r="N261" s="87"/>
    </row>
    <row r="262" spans="2:14" x14ac:dyDescent="0.2">
      <c r="B262" s="83"/>
      <c r="C262" s="84"/>
      <c r="D262" s="93"/>
      <c r="E262" s="93"/>
      <c r="F262" s="97"/>
      <c r="G262" s="119"/>
      <c r="H262" s="119"/>
      <c r="I262" s="119"/>
      <c r="J262" s="119"/>
      <c r="K262" s="119"/>
      <c r="L262" s="119"/>
      <c r="M262" s="119"/>
      <c r="N262" s="87"/>
    </row>
    <row r="263" spans="2:14" x14ac:dyDescent="0.2">
      <c r="B263" s="83"/>
      <c r="C263" s="126"/>
      <c r="D263" s="210"/>
      <c r="E263" s="210"/>
      <c r="F263" s="211"/>
      <c r="G263" s="213"/>
      <c r="H263" s="213"/>
      <c r="I263" s="213"/>
      <c r="J263" s="213"/>
      <c r="K263" s="213"/>
      <c r="L263" s="214"/>
      <c r="M263" s="214"/>
      <c r="N263" s="87"/>
    </row>
    <row r="264" spans="2:14" x14ac:dyDescent="0.2">
      <c r="B264" s="83"/>
      <c r="C264" s="130"/>
      <c r="D264" s="488" t="s">
        <v>102</v>
      </c>
      <c r="E264" s="141"/>
      <c r="F264" s="164"/>
      <c r="G264" s="161"/>
      <c r="H264" s="161"/>
      <c r="I264" s="161"/>
      <c r="J264" s="161"/>
      <c r="K264" s="161"/>
      <c r="L264" s="166"/>
      <c r="M264" s="166"/>
      <c r="N264" s="87"/>
    </row>
    <row r="265" spans="2:14" x14ac:dyDescent="0.2">
      <c r="B265" s="83"/>
      <c r="C265" s="130"/>
      <c r="D265" s="144"/>
      <c r="E265" s="144"/>
      <c r="F265" s="164"/>
      <c r="G265" s="161"/>
      <c r="H265" s="161"/>
      <c r="I265" s="161"/>
      <c r="J265" s="161"/>
      <c r="K265" s="161"/>
      <c r="L265" s="166"/>
      <c r="M265" s="166"/>
      <c r="N265" s="87"/>
    </row>
    <row r="266" spans="2:14" x14ac:dyDescent="0.2">
      <c r="B266" s="83"/>
      <c r="C266" s="130"/>
      <c r="D266" s="131" t="s">
        <v>103</v>
      </c>
      <c r="E266" s="131"/>
      <c r="F266" s="164"/>
      <c r="G266" s="207">
        <v>0</v>
      </c>
      <c r="H266" s="302">
        <f t="shared" ref="H266:M267" si="89">G266</f>
        <v>0</v>
      </c>
      <c r="I266" s="302">
        <f t="shared" si="89"/>
        <v>0</v>
      </c>
      <c r="J266" s="302">
        <f t="shared" si="89"/>
        <v>0</v>
      </c>
      <c r="K266" s="302">
        <f t="shared" si="89"/>
        <v>0</v>
      </c>
      <c r="L266" s="302">
        <f t="shared" si="89"/>
        <v>0</v>
      </c>
      <c r="M266" s="302">
        <f t="shared" si="89"/>
        <v>0</v>
      </c>
      <c r="N266" s="87"/>
    </row>
    <row r="267" spans="2:14" x14ac:dyDescent="0.2">
      <c r="B267" s="83"/>
      <c r="C267" s="130"/>
      <c r="D267" s="131" t="s">
        <v>104</v>
      </c>
      <c r="E267" s="131"/>
      <c r="F267" s="164"/>
      <c r="G267" s="207">
        <v>0</v>
      </c>
      <c r="H267" s="302">
        <f t="shared" si="89"/>
        <v>0</v>
      </c>
      <c r="I267" s="302">
        <f t="shared" si="89"/>
        <v>0</v>
      </c>
      <c r="J267" s="302">
        <f t="shared" si="89"/>
        <v>0</v>
      </c>
      <c r="K267" s="302">
        <f t="shared" si="89"/>
        <v>0</v>
      </c>
      <c r="L267" s="302">
        <f t="shared" si="89"/>
        <v>0</v>
      </c>
      <c r="M267" s="302">
        <f t="shared" si="89"/>
        <v>0</v>
      </c>
      <c r="N267" s="87"/>
    </row>
    <row r="268" spans="2:14" x14ac:dyDescent="0.2">
      <c r="B268" s="83"/>
      <c r="C268" s="130"/>
      <c r="D268" s="131"/>
      <c r="E268" s="131"/>
      <c r="F268" s="164"/>
      <c r="G268" s="161"/>
      <c r="H268" s="161"/>
      <c r="I268" s="161"/>
      <c r="J268" s="161"/>
      <c r="K268" s="161"/>
      <c r="L268" s="161"/>
      <c r="M268" s="161"/>
      <c r="N268" s="87"/>
    </row>
    <row r="269" spans="2:14" s="72" customFormat="1" x14ac:dyDescent="0.2">
      <c r="B269" s="94"/>
      <c r="C269" s="146"/>
      <c r="D269" s="141" t="s">
        <v>137</v>
      </c>
      <c r="E269" s="141"/>
      <c r="F269" s="148"/>
      <c r="G269" s="362">
        <f t="shared" ref="G269:M269" si="90">G266-G267</f>
        <v>0</v>
      </c>
      <c r="H269" s="362">
        <f t="shared" si="90"/>
        <v>0</v>
      </c>
      <c r="I269" s="362">
        <f t="shared" si="90"/>
        <v>0</v>
      </c>
      <c r="J269" s="362">
        <f t="shared" si="90"/>
        <v>0</v>
      </c>
      <c r="K269" s="362">
        <f t="shared" si="90"/>
        <v>0</v>
      </c>
      <c r="L269" s="362">
        <f t="shared" si="90"/>
        <v>0</v>
      </c>
      <c r="M269" s="362">
        <f t="shared" si="90"/>
        <v>0</v>
      </c>
      <c r="N269" s="95"/>
    </row>
    <row r="270" spans="2:14" x14ac:dyDescent="0.2">
      <c r="B270" s="83"/>
      <c r="C270" s="155"/>
      <c r="D270" s="156"/>
      <c r="E270" s="156"/>
      <c r="F270" s="205"/>
      <c r="G270" s="215"/>
      <c r="H270" s="215"/>
      <c r="I270" s="215"/>
      <c r="J270" s="215"/>
      <c r="K270" s="215"/>
      <c r="L270" s="215"/>
      <c r="M270" s="215"/>
      <c r="N270" s="87"/>
    </row>
    <row r="271" spans="2:14" x14ac:dyDescent="0.2">
      <c r="B271" s="83"/>
      <c r="C271" s="84"/>
      <c r="D271" s="88"/>
      <c r="E271" s="88"/>
      <c r="F271" s="97"/>
      <c r="G271" s="119"/>
      <c r="H271" s="119"/>
      <c r="I271" s="119"/>
      <c r="J271" s="119"/>
      <c r="K271" s="119"/>
      <c r="L271" s="119"/>
      <c r="M271" s="119"/>
      <c r="N271" s="87"/>
    </row>
    <row r="272" spans="2:14" x14ac:dyDescent="0.2">
      <c r="B272" s="83"/>
      <c r="C272" s="126"/>
      <c r="D272" s="210"/>
      <c r="E272" s="210"/>
      <c r="F272" s="211"/>
      <c r="G272" s="212"/>
      <c r="H272" s="212"/>
      <c r="I272" s="212"/>
      <c r="J272" s="212"/>
      <c r="K272" s="212"/>
      <c r="L272" s="212"/>
      <c r="M272" s="212"/>
      <c r="N272" s="87"/>
    </row>
    <row r="273" spans="2:14" x14ac:dyDescent="0.2">
      <c r="B273" s="83"/>
      <c r="C273" s="146"/>
      <c r="D273" s="488" t="s">
        <v>141</v>
      </c>
      <c r="E273" s="141"/>
      <c r="F273" s="164"/>
      <c r="G273" s="362">
        <f t="shared" ref="G273:M273" si="91">G260+G269</f>
        <v>0</v>
      </c>
      <c r="H273" s="362">
        <f t="shared" si="91"/>
        <v>0</v>
      </c>
      <c r="I273" s="362">
        <f t="shared" si="91"/>
        <v>0</v>
      </c>
      <c r="J273" s="362">
        <f t="shared" si="91"/>
        <v>0</v>
      </c>
      <c r="K273" s="362">
        <f t="shared" si="91"/>
        <v>0</v>
      </c>
      <c r="L273" s="362">
        <f t="shared" si="91"/>
        <v>0</v>
      </c>
      <c r="M273" s="362">
        <f t="shared" si="91"/>
        <v>0</v>
      </c>
      <c r="N273" s="87"/>
    </row>
    <row r="274" spans="2:14" s="389" customFormat="1" x14ac:dyDescent="0.2">
      <c r="B274" s="458"/>
      <c r="C274" s="459"/>
      <c r="D274" s="390" t="s">
        <v>158</v>
      </c>
      <c r="E274" s="390"/>
      <c r="F274" s="455"/>
      <c r="G274" s="480" t="e">
        <f t="shared" ref="G274:M274" si="92">G273/(G252+G266)</f>
        <v>#DIV/0!</v>
      </c>
      <c r="H274" s="480" t="e">
        <f t="shared" si="92"/>
        <v>#DIV/0!</v>
      </c>
      <c r="I274" s="480" t="e">
        <f t="shared" si="92"/>
        <v>#DIV/0!</v>
      </c>
      <c r="J274" s="480" t="e">
        <f t="shared" si="92"/>
        <v>#DIV/0!</v>
      </c>
      <c r="K274" s="480" t="e">
        <f t="shared" si="92"/>
        <v>#DIV/0!</v>
      </c>
      <c r="L274" s="480" t="e">
        <f t="shared" si="92"/>
        <v>#DIV/0!</v>
      </c>
      <c r="M274" s="480" t="e">
        <f t="shared" si="92"/>
        <v>#DIV/0!</v>
      </c>
      <c r="N274" s="456"/>
    </row>
    <row r="275" spans="2:14" x14ac:dyDescent="0.2">
      <c r="B275" s="83"/>
      <c r="C275" s="155"/>
      <c r="D275" s="204"/>
      <c r="E275" s="204"/>
      <c r="F275" s="205"/>
      <c r="G275" s="235"/>
      <c r="H275" s="235"/>
      <c r="I275" s="235"/>
      <c r="J275" s="235"/>
      <c r="K275" s="235"/>
      <c r="L275" s="235"/>
      <c r="M275" s="235"/>
      <c r="N275" s="87"/>
    </row>
    <row r="276" spans="2:14" x14ac:dyDescent="0.2">
      <c r="B276" s="83"/>
      <c r="C276" s="84"/>
      <c r="D276" s="93"/>
      <c r="E276" s="93"/>
      <c r="F276" s="97"/>
      <c r="G276" s="118"/>
      <c r="H276" s="118"/>
      <c r="I276" s="118"/>
      <c r="J276" s="118"/>
      <c r="K276" s="118"/>
      <c r="L276" s="118"/>
      <c r="M276" s="118"/>
      <c r="N276" s="87"/>
    </row>
    <row r="277" spans="2:14" x14ac:dyDescent="0.2">
      <c r="B277" s="101"/>
      <c r="C277" s="102"/>
      <c r="D277" s="109"/>
      <c r="E277" s="109"/>
      <c r="F277" s="102"/>
      <c r="G277" s="102"/>
      <c r="H277" s="102"/>
      <c r="I277" s="102"/>
      <c r="J277" s="102"/>
      <c r="K277" s="102"/>
      <c r="L277" s="102"/>
      <c r="M277" s="102"/>
      <c r="N277" s="103"/>
    </row>
    <row r="278" spans="2:14" x14ac:dyDescent="0.2">
      <c r="D278" s="68"/>
      <c r="E278" s="68"/>
    </row>
    <row r="279" spans="2:14" x14ac:dyDescent="0.2">
      <c r="D279" s="68"/>
      <c r="E279" s="68"/>
    </row>
    <row r="280" spans="2:14" x14ac:dyDescent="0.2">
      <c r="D280" s="68"/>
      <c r="E280" s="68"/>
    </row>
    <row r="281" spans="2:14" x14ac:dyDescent="0.2">
      <c r="D281" s="68"/>
      <c r="E281" s="68"/>
    </row>
    <row r="282" spans="2:14" x14ac:dyDescent="0.2">
      <c r="D282" s="68"/>
      <c r="E282" s="68"/>
    </row>
    <row r="283" spans="2:14" x14ac:dyDescent="0.2">
      <c r="D283" s="68"/>
      <c r="E283" s="68"/>
    </row>
    <row r="284" spans="2:14" x14ac:dyDescent="0.2">
      <c r="D284" s="68"/>
      <c r="E284" s="68"/>
    </row>
    <row r="285" spans="2:14" x14ac:dyDescent="0.2">
      <c r="D285" s="68"/>
      <c r="E285" s="68"/>
    </row>
    <row r="286" spans="2:14" x14ac:dyDescent="0.2">
      <c r="D286" s="68"/>
      <c r="E286" s="68"/>
    </row>
    <row r="287" spans="2:14" x14ac:dyDescent="0.2">
      <c r="D287" s="68"/>
      <c r="E287" s="68"/>
    </row>
    <row r="288" spans="2:14" x14ac:dyDescent="0.2">
      <c r="D288" s="68"/>
      <c r="E288" s="68"/>
    </row>
  </sheetData>
  <mergeCells count="38">
    <mergeCell ref="D183:E183"/>
    <mergeCell ref="D184:E184"/>
    <mergeCell ref="D185:E185"/>
    <mergeCell ref="D186:E186"/>
    <mergeCell ref="D146:E146"/>
    <mergeCell ref="D149:E149"/>
    <mergeCell ref="D150:E150"/>
    <mergeCell ref="D158:E158"/>
    <mergeCell ref="D161:E161"/>
    <mergeCell ref="D162:E162"/>
    <mergeCell ref="D182:E182"/>
    <mergeCell ref="D196:E196"/>
    <mergeCell ref="D195:E195"/>
    <mergeCell ref="D215:E215"/>
    <mergeCell ref="D197:E197"/>
    <mergeCell ref="D198:E198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19:E119"/>
    <mergeCell ref="D120:E120"/>
    <mergeCell ref="D118:E118"/>
    <mergeCell ref="D131:E131"/>
    <mergeCell ref="D132:E132"/>
  </mergeCells>
  <phoneticPr fontId="0" type="noConversion"/>
  <dataValidations count="1">
    <dataValidation type="list" allowBlank="1" showInputMessage="1" showErrorMessage="1" sqref="G51:M51 G62:M62 G34:M34">
      <formula1>"ja, nee"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Footer>&amp;L&amp;D&amp;Rpagina &amp;P</oddFooter>
  </headerFooter>
  <rowBreaks count="3" manualBreakCount="3">
    <brk id="81" min="1" max="11" man="1"/>
    <brk id="167" min="1" max="15" man="1"/>
    <brk id="237" min="1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31</vt:i4>
      </vt:variant>
      <vt:variant>
        <vt:lpstr>Benoemde bereiken</vt:lpstr>
      </vt:variant>
      <vt:variant>
        <vt:i4>32</vt:i4>
      </vt:variant>
    </vt:vector>
  </HeadingPairs>
  <TitlesOfParts>
    <vt:vector size="63" baseType="lpstr">
      <vt:lpstr>toel</vt:lpstr>
      <vt:lpstr>tot</vt:lpstr>
      <vt:lpstr>bestuur</vt:lpstr>
      <vt:lpstr>16-17</vt:lpstr>
      <vt:lpstr>tabpers</vt:lpstr>
      <vt:lpstr>tabmat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'1'!Afdrukbereik</vt:lpstr>
      <vt:lpstr>'10'!Afdrukbereik</vt:lpstr>
      <vt:lpstr>'11'!Afdrukbereik</vt:lpstr>
      <vt:lpstr>'12'!Afdrukbereik</vt:lpstr>
      <vt:lpstr>'13'!Afdrukbereik</vt:lpstr>
      <vt:lpstr>'14'!Afdrukbereik</vt:lpstr>
      <vt:lpstr>'15'!Afdrukbereik</vt:lpstr>
      <vt:lpstr>'16'!Afdrukbereik</vt:lpstr>
      <vt:lpstr>'17'!Afdrukbereik</vt:lpstr>
      <vt:lpstr>'18'!Afdrukbereik</vt:lpstr>
      <vt:lpstr>'19'!Afdrukbereik</vt:lpstr>
      <vt:lpstr>'2'!Afdrukbereik</vt:lpstr>
      <vt:lpstr>'20'!Afdrukbereik</vt:lpstr>
      <vt:lpstr>'21'!Afdrukbereik</vt:lpstr>
      <vt:lpstr>'22'!Afdrukbereik</vt:lpstr>
      <vt:lpstr>'23'!Afdrukbereik</vt:lpstr>
      <vt:lpstr>'24'!Afdrukbereik</vt:lpstr>
      <vt:lpstr>'25'!Afdrukbereik</vt:lpstr>
      <vt:lpstr>'3'!Afdrukbereik</vt:lpstr>
      <vt:lpstr>'4'!Afdrukbereik</vt:lpstr>
      <vt:lpstr>'5'!Afdrukbereik</vt:lpstr>
      <vt:lpstr>'6'!Afdrukbereik</vt:lpstr>
      <vt:lpstr>'7'!Afdrukbereik</vt:lpstr>
      <vt:lpstr>'8'!Afdrukbereik</vt:lpstr>
      <vt:lpstr>'9'!Afdrukbereik</vt:lpstr>
      <vt:lpstr>bestuur!Afdrukbereik</vt:lpstr>
      <vt:lpstr>tabmat!Afdrukbereik</vt:lpstr>
      <vt:lpstr>tabpers!Afdrukbereik</vt:lpstr>
      <vt:lpstr>toel!Afdrukbereik</vt:lpstr>
      <vt:lpstr>tot!Afdrukbereik</vt:lpstr>
      <vt:lpstr>groepenleerlingennu</vt:lpstr>
      <vt:lpstr>vloeroppervlaknu</vt:lpstr>
    </vt:vector>
  </TitlesOfParts>
  <Company>VOS/ABB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inkomsten lumpsum</dc:title>
  <dc:creator>drs. R.M. Goedhart</dc:creator>
  <cp:lastModifiedBy>B Keizer</cp:lastModifiedBy>
  <cp:lastPrinted>2017-05-23T13:26:59Z</cp:lastPrinted>
  <dcterms:created xsi:type="dcterms:W3CDTF">2002-03-02T17:48:17Z</dcterms:created>
  <dcterms:modified xsi:type="dcterms:W3CDTF">2017-10-24T10:59:44Z</dcterms:modified>
</cp:coreProperties>
</file>