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ubbe\Documents\Instrumenten\toolbox 2018\po\"/>
    </mc:Choice>
  </mc:AlternateContent>
  <workbookProtection workbookAlgorithmName="SHA-512" workbookHashValue="1rD/oSC90ARiMdZg7UGgEi+6f8sPQZ+e9de9Y25n6SVbFxlDatfik8zSGgavw49AFf8Jc1a52oT5fGAYmn1g9Q==" workbookSaltValue="TuasZcvwIGCLsTkqsx6zaQ==" workbookSpinCount="100000" lockStructure="1"/>
  <bookViews>
    <workbookView xWindow="0" yWindow="0" windowWidth="19200" windowHeight="11595" tabRatio="762" activeTab="5"/>
  </bookViews>
  <sheets>
    <sheet name="toel" sheetId="10" r:id="rId1"/>
    <sheet name="wgl" sheetId="1" r:id="rId2"/>
    <sheet name="Ouderschapsverlof" sheetId="9" state="hidden" r:id="rId3"/>
    <sheet name="Functiedifferentiatie" sheetId="8" state="hidden" r:id="rId4"/>
    <sheet name="Extra periodieken" sheetId="7" state="hidden" r:id="rId5"/>
    <sheet name="wgl tot" sheetId="12" r:id="rId6"/>
    <sheet name="tabellen" sheetId="3" r:id="rId7"/>
  </sheets>
  <definedNames>
    <definedName name="_xlnm._FilterDatabase" localSheetId="1" hidden="1">wgl!#REF!</definedName>
    <definedName name="_xlnm.Print_Area" localSheetId="4">'Extra periodieken'!$B$2:$J$52</definedName>
    <definedName name="_xlnm.Print_Area" localSheetId="3">Functiedifferentiatie!$B$2:$J$52</definedName>
    <definedName name="_xlnm.Print_Area" localSheetId="2">Ouderschapsverlof!$B$2:$L$66</definedName>
    <definedName name="_xlnm.Print_Area" localSheetId="6">tabellen!$A$51:$V$120</definedName>
    <definedName name="_xlnm.Print_Area" localSheetId="0">toel!$B$2:$N$112</definedName>
    <definedName name="_xlnm.Print_Area" localSheetId="1">wgl!$B$2:$V$60</definedName>
    <definedName name="_xlnm.Print_Area" localSheetId="5">'wgl tot'!$B$2:$BB$73</definedName>
    <definedName name="arbeidskorting">tabellen!$B$117:$D$120</definedName>
    <definedName name="bindingstoelage">tabellen!$B$82:$D$85</definedName>
    <definedName name="eindejaarsuitkering_OOP">tabellen!$C$94:$D$97</definedName>
    <definedName name="premies">tabellen!$B$53:$G$64</definedName>
    <definedName name="salaristabellen">tabellen!$A$6:$V$47</definedName>
    <definedName name="uitlooptoeslag">tabellen!$B$74:$C$77</definedName>
  </definedNames>
  <calcPr calcId="152511"/>
</workbook>
</file>

<file path=xl/calcChain.xml><?xml version="1.0" encoding="utf-8"?>
<calcChain xmlns="http://schemas.openxmlformats.org/spreadsheetml/2006/main">
  <c r="B51" i="3" l="1"/>
  <c r="C5" i="1" l="1"/>
  <c r="J36" i="1"/>
  <c r="I36" i="1" s="1"/>
  <c r="G57" i="3" l="1"/>
  <c r="H57" i="3"/>
  <c r="G58" i="3"/>
  <c r="H58" i="3"/>
  <c r="H59" i="3" s="1"/>
  <c r="G59" i="3"/>
  <c r="D65" i="3"/>
  <c r="C65" i="3"/>
  <c r="E65" i="3" s="1"/>
  <c r="B34" i="3" l="1"/>
  <c r="B33" i="3"/>
  <c r="AE15" i="12" l="1"/>
  <c r="I53" i="1"/>
  <c r="B19" i="3"/>
  <c r="B18" i="3"/>
  <c r="V47" i="3" l="1"/>
  <c r="V46" i="3"/>
  <c r="V45" i="3"/>
  <c r="V44" i="3"/>
  <c r="V43" i="3"/>
  <c r="V42" i="3"/>
  <c r="V41" i="3"/>
  <c r="V40" i="3"/>
  <c r="V39" i="3"/>
  <c r="V38" i="3"/>
  <c r="V37" i="3"/>
  <c r="V36" i="3"/>
  <c r="V35" i="3"/>
  <c r="V34" i="3"/>
  <c r="V33" i="3"/>
  <c r="V32" i="3"/>
  <c r="V31" i="3"/>
  <c r="V30" i="3"/>
  <c r="V29" i="3"/>
  <c r="V28" i="3"/>
  <c r="V27" i="3"/>
  <c r="B26" i="3"/>
  <c r="V26" i="3" s="1"/>
  <c r="B25" i="3"/>
  <c r="V25" i="3" s="1"/>
  <c r="V24" i="3"/>
  <c r="V23" i="3"/>
  <c r="V22" i="3"/>
  <c r="V21" i="3"/>
  <c r="V20" i="3"/>
  <c r="V19" i="3"/>
  <c r="V18" i="3"/>
  <c r="V17" i="3"/>
  <c r="V16" i="3"/>
  <c r="V15" i="3"/>
  <c r="V14" i="3"/>
  <c r="V13" i="3"/>
  <c r="V12" i="3"/>
  <c r="V11" i="3"/>
  <c r="V10" i="3"/>
  <c r="V9" i="3"/>
  <c r="V8" i="3"/>
  <c r="V7" i="3"/>
  <c r="V6" i="3"/>
  <c r="AO18" i="12" l="1"/>
  <c r="AO19" i="12"/>
  <c r="AO20" i="12"/>
  <c r="AO21" i="12"/>
  <c r="AO22" i="12"/>
  <c r="AO23" i="12"/>
  <c r="AO24" i="12"/>
  <c r="AO25" i="12"/>
  <c r="AO26" i="12"/>
  <c r="AO27" i="12"/>
  <c r="AO28" i="12"/>
  <c r="AO29" i="12"/>
  <c r="AO30" i="12"/>
  <c r="AO31" i="12"/>
  <c r="AO32" i="12"/>
  <c r="AO33" i="12"/>
  <c r="AO34" i="12"/>
  <c r="AO35" i="12"/>
  <c r="AO36" i="12"/>
  <c r="AO37" i="12"/>
  <c r="AO38" i="12"/>
  <c r="AO39" i="12"/>
  <c r="AO40" i="12"/>
  <c r="AO41" i="12"/>
  <c r="AO42" i="12"/>
  <c r="AO43" i="12"/>
  <c r="AO44" i="12"/>
  <c r="AO45" i="12"/>
  <c r="AO46" i="12"/>
  <c r="AO47" i="12"/>
  <c r="AO48" i="12"/>
  <c r="AO49" i="12"/>
  <c r="AO50" i="12"/>
  <c r="AO51" i="12"/>
  <c r="AO52" i="12"/>
  <c r="AO53" i="12"/>
  <c r="AO54" i="12"/>
  <c r="AO55" i="12"/>
  <c r="AO56" i="12"/>
  <c r="AO57" i="12"/>
  <c r="AO58" i="12"/>
  <c r="AO59" i="12"/>
  <c r="AO60" i="12"/>
  <c r="AO61" i="12"/>
  <c r="AO62" i="12"/>
  <c r="AO63" i="12"/>
  <c r="AO64" i="12"/>
  <c r="AO65" i="12"/>
  <c r="AO66" i="12"/>
  <c r="AO67" i="12"/>
  <c r="AO68" i="12"/>
  <c r="AO69" i="12"/>
  <c r="BE10" i="12" l="1"/>
  <c r="BX16" i="12" l="1"/>
  <c r="BY16" i="12"/>
  <c r="BZ16" i="12"/>
  <c r="CB16" i="12"/>
  <c r="BX17" i="12"/>
  <c r="BY17" i="12"/>
  <c r="BZ17" i="12"/>
  <c r="CB17" i="12"/>
  <c r="BX18" i="12"/>
  <c r="BY18" i="12"/>
  <c r="BZ18" i="12"/>
  <c r="CB18" i="12"/>
  <c r="BX19" i="12"/>
  <c r="BY19" i="12"/>
  <c r="BZ19" i="12"/>
  <c r="CB19" i="12"/>
  <c r="BX20" i="12"/>
  <c r="BY20" i="12"/>
  <c r="BZ20" i="12"/>
  <c r="CB20" i="12"/>
  <c r="BX21" i="12"/>
  <c r="BY21" i="12"/>
  <c r="BZ21" i="12"/>
  <c r="CB21" i="12"/>
  <c r="BX22" i="12"/>
  <c r="BY22" i="12"/>
  <c r="BZ22" i="12"/>
  <c r="CB22" i="12"/>
  <c r="BX23" i="12"/>
  <c r="BY23" i="12"/>
  <c r="BZ23" i="12"/>
  <c r="CB23" i="12"/>
  <c r="BX24" i="12"/>
  <c r="BY24" i="12"/>
  <c r="BZ24" i="12"/>
  <c r="CB24" i="12"/>
  <c r="BX25" i="12"/>
  <c r="BY25" i="12"/>
  <c r="BZ25" i="12"/>
  <c r="CB25" i="12"/>
  <c r="BX26" i="12"/>
  <c r="BY26" i="12"/>
  <c r="BZ26" i="12"/>
  <c r="CB26" i="12"/>
  <c r="BX27" i="12"/>
  <c r="BY27" i="12"/>
  <c r="BZ27" i="12"/>
  <c r="CB27" i="12"/>
  <c r="BX28" i="12"/>
  <c r="BY28" i="12"/>
  <c r="BZ28" i="12"/>
  <c r="CB28" i="12"/>
  <c r="BX29" i="12"/>
  <c r="BY29" i="12"/>
  <c r="BZ29" i="12"/>
  <c r="CB29" i="12"/>
  <c r="BX30" i="12"/>
  <c r="BY30" i="12"/>
  <c r="BZ30" i="12"/>
  <c r="CB30" i="12"/>
  <c r="BX31" i="12"/>
  <c r="BY31" i="12"/>
  <c r="BZ31" i="12"/>
  <c r="CB31" i="12"/>
  <c r="BX32" i="12"/>
  <c r="BY32" i="12"/>
  <c r="BZ32" i="12"/>
  <c r="CB32" i="12"/>
  <c r="BX33" i="12"/>
  <c r="BY33" i="12"/>
  <c r="BZ33" i="12"/>
  <c r="CB33" i="12"/>
  <c r="BX34" i="12"/>
  <c r="BY34" i="12"/>
  <c r="BZ34" i="12"/>
  <c r="CB34" i="12"/>
  <c r="BX35" i="12"/>
  <c r="BY35" i="12"/>
  <c r="BZ35" i="12"/>
  <c r="CB35" i="12"/>
  <c r="BX36" i="12"/>
  <c r="BY36" i="12"/>
  <c r="BZ36" i="12"/>
  <c r="CB36" i="12"/>
  <c r="BX37" i="12"/>
  <c r="BY37" i="12"/>
  <c r="BZ37" i="12"/>
  <c r="CB37" i="12"/>
  <c r="BX38" i="12"/>
  <c r="BY38" i="12"/>
  <c r="BZ38" i="12"/>
  <c r="CB38" i="12"/>
  <c r="BX39" i="12"/>
  <c r="BY39" i="12"/>
  <c r="BZ39" i="12"/>
  <c r="CB39" i="12"/>
  <c r="BX40" i="12"/>
  <c r="BY40" i="12"/>
  <c r="BZ40" i="12"/>
  <c r="CB40" i="12"/>
  <c r="BX41" i="12"/>
  <c r="BY41" i="12"/>
  <c r="BZ41" i="12"/>
  <c r="CB41" i="12"/>
  <c r="BX42" i="12"/>
  <c r="BY42" i="12"/>
  <c r="BZ42" i="12"/>
  <c r="CB42" i="12"/>
  <c r="BX43" i="12"/>
  <c r="BY43" i="12"/>
  <c r="BZ43" i="12"/>
  <c r="CB43" i="12"/>
  <c r="BX44" i="12"/>
  <c r="BY44" i="12"/>
  <c r="BZ44" i="12"/>
  <c r="CB44" i="12"/>
  <c r="BX45" i="12"/>
  <c r="BY45" i="12"/>
  <c r="BZ45" i="12"/>
  <c r="CB45" i="12"/>
  <c r="BX46" i="12"/>
  <c r="BY46" i="12"/>
  <c r="BZ46" i="12"/>
  <c r="CB46" i="12"/>
  <c r="BX47" i="12"/>
  <c r="BY47" i="12"/>
  <c r="BZ47" i="12"/>
  <c r="CB47" i="12"/>
  <c r="BX48" i="12"/>
  <c r="BY48" i="12"/>
  <c r="BZ48" i="12"/>
  <c r="CB48" i="12"/>
  <c r="BX49" i="12"/>
  <c r="BY49" i="12"/>
  <c r="BZ49" i="12"/>
  <c r="CB49" i="12"/>
  <c r="BX50" i="12"/>
  <c r="BY50" i="12"/>
  <c r="BZ50" i="12"/>
  <c r="CB50" i="12"/>
  <c r="BX51" i="12"/>
  <c r="BY51" i="12"/>
  <c r="BZ51" i="12"/>
  <c r="CB51" i="12"/>
  <c r="BX52" i="12"/>
  <c r="BY52" i="12"/>
  <c r="BZ52" i="12"/>
  <c r="CB52" i="12"/>
  <c r="BX53" i="12"/>
  <c r="BY53" i="12"/>
  <c r="BZ53" i="12"/>
  <c r="CB53" i="12"/>
  <c r="BX54" i="12"/>
  <c r="BY54" i="12"/>
  <c r="BZ54" i="12"/>
  <c r="CB54" i="12"/>
  <c r="BX55" i="12"/>
  <c r="BY55" i="12"/>
  <c r="BZ55" i="12"/>
  <c r="CB55" i="12"/>
  <c r="BX56" i="12"/>
  <c r="BY56" i="12"/>
  <c r="BZ56" i="12"/>
  <c r="CB56" i="12"/>
  <c r="BX57" i="12"/>
  <c r="BY57" i="12"/>
  <c r="BZ57" i="12"/>
  <c r="CB57" i="12"/>
  <c r="BX58" i="12"/>
  <c r="BY58" i="12"/>
  <c r="BZ58" i="12"/>
  <c r="CB58" i="12"/>
  <c r="BX59" i="12"/>
  <c r="BY59" i="12"/>
  <c r="BZ59" i="12"/>
  <c r="CB59" i="12"/>
  <c r="BX60" i="12"/>
  <c r="BY60" i="12"/>
  <c r="BZ60" i="12"/>
  <c r="CB60" i="12"/>
  <c r="BX61" i="12"/>
  <c r="BY61" i="12"/>
  <c r="BZ61" i="12"/>
  <c r="CB61" i="12"/>
  <c r="BX62" i="12"/>
  <c r="BY62" i="12"/>
  <c r="BZ62" i="12"/>
  <c r="CB62" i="12"/>
  <c r="BX63" i="12"/>
  <c r="BY63" i="12"/>
  <c r="BZ63" i="12"/>
  <c r="CB63" i="12"/>
  <c r="BX64" i="12"/>
  <c r="BY64" i="12"/>
  <c r="BZ64" i="12"/>
  <c r="CB64" i="12"/>
  <c r="BX65" i="12"/>
  <c r="BY65" i="12"/>
  <c r="BZ65" i="12"/>
  <c r="CB65" i="12"/>
  <c r="BX66" i="12"/>
  <c r="BY66" i="12"/>
  <c r="BZ66" i="12"/>
  <c r="CB66" i="12"/>
  <c r="BX67" i="12"/>
  <c r="BY67" i="12"/>
  <c r="BZ67" i="12"/>
  <c r="CB67" i="12"/>
  <c r="BX68" i="12"/>
  <c r="BY68" i="12"/>
  <c r="BZ68" i="12"/>
  <c r="CB68" i="12"/>
  <c r="BX69" i="12"/>
  <c r="BY69" i="12"/>
  <c r="BZ69" i="12"/>
  <c r="CB69" i="12"/>
  <c r="CB15" i="12"/>
  <c r="BZ15" i="12"/>
  <c r="BY15" i="12"/>
  <c r="BX15" i="12"/>
  <c r="CA17" i="12" l="1"/>
  <c r="CA21" i="12"/>
  <c r="CA33" i="12"/>
  <c r="CA69" i="12"/>
  <c r="CA53" i="12"/>
  <c r="CA37" i="12"/>
  <c r="CA41" i="12"/>
  <c r="CA65" i="12"/>
  <c r="CA64" i="12"/>
  <c r="CA63" i="12"/>
  <c r="CA61" i="12"/>
  <c r="CA60" i="12"/>
  <c r="CA49" i="12"/>
  <c r="CA16" i="12"/>
  <c r="CA59" i="12"/>
  <c r="CA57" i="12"/>
  <c r="CA38" i="12"/>
  <c r="CA48" i="12"/>
  <c r="CA47" i="12"/>
  <c r="CA45" i="12"/>
  <c r="CA44" i="12"/>
  <c r="CA43" i="12"/>
  <c r="CA25" i="12"/>
  <c r="CA22" i="12"/>
  <c r="CA32" i="12"/>
  <c r="CA31" i="12"/>
  <c r="CA29" i="12"/>
  <c r="CA28" i="12"/>
  <c r="CA27" i="12"/>
  <c r="CA54" i="12"/>
  <c r="CA66" i="12"/>
  <c r="CA56" i="12"/>
  <c r="CA55" i="12"/>
  <c r="CA50" i="12"/>
  <c r="CA40" i="12"/>
  <c r="CA39" i="12"/>
  <c r="CA34" i="12"/>
  <c r="CA24" i="12"/>
  <c r="CA23" i="12"/>
  <c r="CA18" i="12"/>
  <c r="CA68" i="12"/>
  <c r="CA67" i="12"/>
  <c r="CA62" i="12"/>
  <c r="CA52" i="12"/>
  <c r="CA51" i="12"/>
  <c r="CA46" i="12"/>
  <c r="CA36" i="12"/>
  <c r="CA35" i="12"/>
  <c r="CA30" i="12"/>
  <c r="CA20" i="12"/>
  <c r="CA19" i="12"/>
  <c r="CA58" i="12"/>
  <c r="CA42" i="12"/>
  <c r="CA26" i="12"/>
  <c r="CA15" i="12"/>
  <c r="I28" i="1"/>
  <c r="J28" i="1" s="1"/>
  <c r="D132" i="12" l="1"/>
  <c r="C4" i="12"/>
  <c r="Q21" i="1" l="1"/>
  <c r="F54" i="3" l="1"/>
  <c r="F53" i="3"/>
  <c r="BL69" i="12" l="1"/>
  <c r="BL68" i="12"/>
  <c r="BL67" i="12"/>
  <c r="BL66" i="12"/>
  <c r="BL65" i="12"/>
  <c r="BL64" i="12"/>
  <c r="BL63" i="12"/>
  <c r="BL62" i="12"/>
  <c r="BL61" i="12"/>
  <c r="BL60" i="12"/>
  <c r="BL59" i="12"/>
  <c r="BL58" i="12"/>
  <c r="BL57" i="12"/>
  <c r="BL56" i="12"/>
  <c r="BL55" i="12"/>
  <c r="BL54" i="12"/>
  <c r="BL53" i="12"/>
  <c r="BL52" i="12"/>
  <c r="BL51" i="12"/>
  <c r="BL50" i="12"/>
  <c r="BL49" i="12"/>
  <c r="BL48" i="12"/>
  <c r="BL47" i="12"/>
  <c r="BL46" i="12"/>
  <c r="BL45" i="12"/>
  <c r="BL44" i="12"/>
  <c r="BL43" i="12"/>
  <c r="BL42" i="12"/>
  <c r="BL41" i="12"/>
  <c r="BL40" i="12"/>
  <c r="BL39" i="12"/>
  <c r="BL38" i="12"/>
  <c r="BL37" i="12"/>
  <c r="BL36" i="12"/>
  <c r="BL35" i="12"/>
  <c r="BL34" i="12"/>
  <c r="BL33" i="12"/>
  <c r="BL32" i="12"/>
  <c r="BL31" i="12"/>
  <c r="BL30" i="12"/>
  <c r="BL29" i="12"/>
  <c r="BL28" i="12"/>
  <c r="BL27" i="12"/>
  <c r="BL26" i="12"/>
  <c r="BL25" i="12"/>
  <c r="BL24" i="12"/>
  <c r="BL23" i="12"/>
  <c r="BL22" i="12"/>
  <c r="BL21" i="12"/>
  <c r="BL20" i="12"/>
  <c r="BL19" i="12"/>
  <c r="BL18" i="12"/>
  <c r="BL17" i="12"/>
  <c r="BL16" i="12"/>
  <c r="P68" i="12"/>
  <c r="Q68" i="12" s="1"/>
  <c r="S68" i="12"/>
  <c r="T68" i="12"/>
  <c r="W68" i="12"/>
  <c r="AD68" i="12"/>
  <c r="AI68" i="12"/>
  <c r="AT68" i="12" s="1"/>
  <c r="BH68" i="12"/>
  <c r="BN68" i="12" s="1"/>
  <c r="X68" i="12" s="1"/>
  <c r="BI68" i="12"/>
  <c r="BJ68" i="12"/>
  <c r="BM68" i="12"/>
  <c r="BO68" i="12"/>
  <c r="Y68" i="12" s="1"/>
  <c r="T69" i="12"/>
  <c r="T67" i="12"/>
  <c r="T66" i="12"/>
  <c r="T65" i="12"/>
  <c r="T64" i="12"/>
  <c r="T63" i="12"/>
  <c r="T62" i="12"/>
  <c r="T61" i="12"/>
  <c r="T60" i="12"/>
  <c r="T59" i="12"/>
  <c r="T58" i="12"/>
  <c r="T57" i="12"/>
  <c r="T56" i="12"/>
  <c r="T55" i="12"/>
  <c r="T54" i="12"/>
  <c r="T53" i="12"/>
  <c r="T52" i="12"/>
  <c r="T51" i="12"/>
  <c r="T50" i="12"/>
  <c r="T49" i="12"/>
  <c r="T48" i="12"/>
  <c r="T47" i="12"/>
  <c r="T46" i="12"/>
  <c r="T45" i="12"/>
  <c r="T44" i="12"/>
  <c r="T43" i="12"/>
  <c r="T42" i="12"/>
  <c r="T41" i="12"/>
  <c r="T40" i="12"/>
  <c r="T39" i="12"/>
  <c r="T38" i="12"/>
  <c r="T37" i="12"/>
  <c r="T36" i="12"/>
  <c r="T35" i="12"/>
  <c r="T34" i="12"/>
  <c r="T33" i="12"/>
  <c r="T32" i="12"/>
  <c r="T31" i="12"/>
  <c r="T30" i="12"/>
  <c r="T29" i="12"/>
  <c r="T28" i="12"/>
  <c r="T27" i="12"/>
  <c r="T26" i="12"/>
  <c r="T25" i="12"/>
  <c r="T24" i="12"/>
  <c r="T23" i="12"/>
  <c r="T22" i="12"/>
  <c r="T21" i="12"/>
  <c r="T20" i="12"/>
  <c r="T19" i="12"/>
  <c r="T18" i="12"/>
  <c r="T17" i="12"/>
  <c r="T16" i="12"/>
  <c r="T15" i="12"/>
  <c r="BJ15" i="12"/>
  <c r="S15" i="12" s="1"/>
  <c r="BO17" i="12"/>
  <c r="Y17" i="12" s="1"/>
  <c r="BM17" i="12"/>
  <c r="BI18" i="12"/>
  <c r="BH18" i="12"/>
  <c r="BN18" i="12" s="1"/>
  <c r="X18" i="12" s="1"/>
  <c r="BJ18" i="12"/>
  <c r="BJ17" i="12"/>
  <c r="C5" i="12"/>
  <c r="BJ69" i="12"/>
  <c r="BJ67" i="12"/>
  <c r="BJ66" i="12"/>
  <c r="BJ65" i="12"/>
  <c r="BJ64" i="12"/>
  <c r="BJ63" i="12"/>
  <c r="BJ62" i="12"/>
  <c r="BJ61" i="12"/>
  <c r="BJ60" i="12"/>
  <c r="BJ59" i="12"/>
  <c r="BJ58" i="12"/>
  <c r="BJ57" i="12"/>
  <c r="BJ56" i="12"/>
  <c r="BJ55" i="12"/>
  <c r="BJ54" i="12"/>
  <c r="BJ53" i="12"/>
  <c r="BJ52" i="12"/>
  <c r="BJ51" i="12"/>
  <c r="BJ50" i="12"/>
  <c r="BJ49" i="12"/>
  <c r="BJ48" i="12"/>
  <c r="BJ47" i="12"/>
  <c r="BJ46" i="12"/>
  <c r="BJ45" i="12"/>
  <c r="BJ44" i="12"/>
  <c r="BJ43" i="12"/>
  <c r="BJ42" i="12"/>
  <c r="BJ41" i="12"/>
  <c r="BJ40" i="12"/>
  <c r="BJ39" i="12"/>
  <c r="BJ38" i="12"/>
  <c r="BJ37" i="12"/>
  <c r="BJ36" i="12"/>
  <c r="BJ35" i="12"/>
  <c r="BJ34" i="12"/>
  <c r="BJ33" i="12"/>
  <c r="BJ32" i="12"/>
  <c r="BJ31" i="12"/>
  <c r="BJ30" i="12"/>
  <c r="BJ29" i="12"/>
  <c r="BJ28" i="12"/>
  <c r="BJ27" i="12"/>
  <c r="BJ26" i="12"/>
  <c r="BJ25" i="12"/>
  <c r="BJ24" i="12"/>
  <c r="BJ23" i="12"/>
  <c r="BJ22" i="12"/>
  <c r="BJ21" i="12"/>
  <c r="BJ20" i="12"/>
  <c r="BJ19" i="12"/>
  <c r="P69" i="12"/>
  <c r="Q69" i="12" s="1"/>
  <c r="P67" i="12"/>
  <c r="Q67" i="12" s="1"/>
  <c r="P66" i="12"/>
  <c r="Q66" i="12" s="1"/>
  <c r="P65" i="12"/>
  <c r="Q65" i="12" s="1"/>
  <c r="P64" i="12"/>
  <c r="Q64" i="12" s="1"/>
  <c r="P63" i="12"/>
  <c r="Q63" i="12" s="1"/>
  <c r="P62" i="12"/>
  <c r="Q62" i="12" s="1"/>
  <c r="P61" i="12"/>
  <c r="Q61" i="12" s="1"/>
  <c r="P60" i="12"/>
  <c r="Q60" i="12" s="1"/>
  <c r="P59" i="12"/>
  <c r="Q59" i="12" s="1"/>
  <c r="P58" i="12"/>
  <c r="Q58" i="12" s="1"/>
  <c r="P57" i="12"/>
  <c r="Q57" i="12" s="1"/>
  <c r="P56" i="12"/>
  <c r="Q56" i="12" s="1"/>
  <c r="P55" i="12"/>
  <c r="Q55" i="12" s="1"/>
  <c r="P54" i="12"/>
  <c r="Q54" i="12" s="1"/>
  <c r="P53" i="12"/>
  <c r="Q53" i="12" s="1"/>
  <c r="P52" i="12"/>
  <c r="Q52" i="12" s="1"/>
  <c r="P51" i="12"/>
  <c r="Q51" i="12" s="1"/>
  <c r="P50" i="12"/>
  <c r="Q50" i="12" s="1"/>
  <c r="P49" i="12"/>
  <c r="Q49" i="12" s="1"/>
  <c r="P48" i="12"/>
  <c r="Q48" i="12" s="1"/>
  <c r="P47" i="12"/>
  <c r="Q47" i="12" s="1"/>
  <c r="P46" i="12"/>
  <c r="Q46" i="12" s="1"/>
  <c r="P45" i="12"/>
  <c r="Q45" i="12" s="1"/>
  <c r="P44" i="12"/>
  <c r="Q44" i="12" s="1"/>
  <c r="P43" i="12"/>
  <c r="Q43" i="12" s="1"/>
  <c r="P42" i="12"/>
  <c r="Q42" i="12" s="1"/>
  <c r="P41" i="12"/>
  <c r="Q41" i="12" s="1"/>
  <c r="P40" i="12"/>
  <c r="Q40" i="12" s="1"/>
  <c r="P39" i="12"/>
  <c r="Q39" i="12" s="1"/>
  <c r="P38" i="12"/>
  <c r="Q38" i="12" s="1"/>
  <c r="P37" i="12"/>
  <c r="Q37" i="12" s="1"/>
  <c r="P36" i="12"/>
  <c r="Q36" i="12" s="1"/>
  <c r="P35" i="12"/>
  <c r="Q35" i="12" s="1"/>
  <c r="P34" i="12"/>
  <c r="Q34" i="12" s="1"/>
  <c r="P33" i="12"/>
  <c r="Q33" i="12" s="1"/>
  <c r="P32" i="12"/>
  <c r="Q32" i="12" s="1"/>
  <c r="P31" i="12"/>
  <c r="Q31" i="12" s="1"/>
  <c r="P30" i="12"/>
  <c r="Q30" i="12" s="1"/>
  <c r="P29" i="12"/>
  <c r="Q29" i="12" s="1"/>
  <c r="P28" i="12"/>
  <c r="Q28" i="12" s="1"/>
  <c r="P27" i="12"/>
  <c r="Q27" i="12" s="1"/>
  <c r="P26" i="12"/>
  <c r="Q26" i="12" s="1"/>
  <c r="P25" i="12"/>
  <c r="Q25" i="12" s="1"/>
  <c r="P24" i="12"/>
  <c r="Q24" i="12" s="1"/>
  <c r="P23" i="12"/>
  <c r="Q23" i="12" s="1"/>
  <c r="P22" i="12"/>
  <c r="Q22" i="12" s="1"/>
  <c r="P21" i="12"/>
  <c r="Q21" i="12" s="1"/>
  <c r="P20" i="12"/>
  <c r="Q20" i="12" s="1"/>
  <c r="P19" i="12"/>
  <c r="Q19" i="12" s="1"/>
  <c r="P18" i="12"/>
  <c r="Q18" i="12" s="1"/>
  <c r="P17" i="12"/>
  <c r="Q17" i="12" s="1"/>
  <c r="BJ16" i="12"/>
  <c r="J15" i="1"/>
  <c r="G33" i="1" s="1"/>
  <c r="I33" i="1" s="1"/>
  <c r="J33" i="1" s="1"/>
  <c r="BH15" i="12"/>
  <c r="BN15" i="12" s="1"/>
  <c r="X15" i="12" s="1"/>
  <c r="BO63" i="12"/>
  <c r="Y63" i="12" s="1"/>
  <c r="BM63" i="12"/>
  <c r="BH63" i="12"/>
  <c r="BN63" i="12" s="1"/>
  <c r="X63" i="12" s="1"/>
  <c r="AD63" i="12"/>
  <c r="W63" i="12"/>
  <c r="S63" i="12"/>
  <c r="BO62" i="12"/>
  <c r="Y62" i="12" s="1"/>
  <c r="BM62" i="12"/>
  <c r="BH62" i="12"/>
  <c r="BN62" i="12" s="1"/>
  <c r="X62" i="12" s="1"/>
  <c r="AD62" i="12"/>
  <c r="W62" i="12"/>
  <c r="S62" i="12"/>
  <c r="BO61" i="12"/>
  <c r="Y61" i="12" s="1"/>
  <c r="BM61" i="12"/>
  <c r="BH61" i="12"/>
  <c r="BN61" i="12" s="1"/>
  <c r="X61" i="12" s="1"/>
  <c r="AD61" i="12"/>
  <c r="W61" i="12"/>
  <c r="S61" i="12"/>
  <c r="BO60" i="12"/>
  <c r="Y60" i="12" s="1"/>
  <c r="BM60" i="12"/>
  <c r="BH60" i="12"/>
  <c r="BN60" i="12" s="1"/>
  <c r="X60" i="12" s="1"/>
  <c r="AD60" i="12"/>
  <c r="W60" i="12"/>
  <c r="S60" i="12"/>
  <c r="BO59" i="12"/>
  <c r="Y59" i="12" s="1"/>
  <c r="BM59" i="12"/>
  <c r="BH59" i="12"/>
  <c r="BN59" i="12" s="1"/>
  <c r="X59" i="12" s="1"/>
  <c r="AD59" i="12"/>
  <c r="W59" i="12"/>
  <c r="S59" i="12"/>
  <c r="C4" i="1"/>
  <c r="BO69" i="12"/>
  <c r="Y69" i="12" s="1"/>
  <c r="BM69" i="12"/>
  <c r="BH69" i="12"/>
  <c r="BN69" i="12" s="1"/>
  <c r="X69" i="12" s="1"/>
  <c r="AD69" i="12"/>
  <c r="W69" i="12"/>
  <c r="S69" i="12"/>
  <c r="BO67" i="12"/>
  <c r="Y67" i="12" s="1"/>
  <c r="BM67" i="12"/>
  <c r="BH67" i="12"/>
  <c r="BN67" i="12" s="1"/>
  <c r="X67" i="12" s="1"/>
  <c r="AD67" i="12"/>
  <c r="W67" i="12"/>
  <c r="S67" i="12"/>
  <c r="BO66" i="12"/>
  <c r="Y66" i="12" s="1"/>
  <c r="BM66" i="12"/>
  <c r="BH66" i="12"/>
  <c r="BN66" i="12" s="1"/>
  <c r="X66" i="12" s="1"/>
  <c r="AD66" i="12"/>
  <c r="W66" i="12"/>
  <c r="S66" i="12"/>
  <c r="BO65" i="12"/>
  <c r="Y65" i="12" s="1"/>
  <c r="BM65" i="12"/>
  <c r="BH65" i="12"/>
  <c r="BN65" i="12" s="1"/>
  <c r="X65" i="12" s="1"/>
  <c r="AD65" i="12"/>
  <c r="W65" i="12"/>
  <c r="S65" i="12"/>
  <c r="BO64" i="12"/>
  <c r="Y64" i="12" s="1"/>
  <c r="BM64" i="12"/>
  <c r="BH64" i="12"/>
  <c r="BN64" i="12" s="1"/>
  <c r="X64" i="12" s="1"/>
  <c r="AD64" i="12"/>
  <c r="W64" i="12"/>
  <c r="S64" i="12"/>
  <c r="BO58" i="12"/>
  <c r="Y58" i="12" s="1"/>
  <c r="BM58" i="12"/>
  <c r="BH58" i="12"/>
  <c r="BN58" i="12" s="1"/>
  <c r="X58" i="12" s="1"/>
  <c r="AD58" i="12"/>
  <c r="W58" i="12"/>
  <c r="S58" i="12"/>
  <c r="BO57" i="12"/>
  <c r="Y57" i="12" s="1"/>
  <c r="BM57" i="12"/>
  <c r="BH57" i="12"/>
  <c r="BN57" i="12" s="1"/>
  <c r="X57" i="12" s="1"/>
  <c r="AD57" i="12"/>
  <c r="W57" i="12"/>
  <c r="S57" i="12"/>
  <c r="BO56" i="12"/>
  <c r="Y56" i="12" s="1"/>
  <c r="BM56" i="12"/>
  <c r="BH56" i="12"/>
  <c r="BN56" i="12" s="1"/>
  <c r="X56" i="12" s="1"/>
  <c r="AD56" i="12"/>
  <c r="W56" i="12"/>
  <c r="S56" i="12"/>
  <c r="BO55" i="12"/>
  <c r="Y55" i="12" s="1"/>
  <c r="BM55" i="12"/>
  <c r="BH55" i="12"/>
  <c r="BN55" i="12" s="1"/>
  <c r="X55" i="12" s="1"/>
  <c r="AD55" i="12"/>
  <c r="W55" i="12"/>
  <c r="S55" i="12"/>
  <c r="BO54" i="12"/>
  <c r="Y54" i="12" s="1"/>
  <c r="BM54" i="12"/>
  <c r="BH54" i="12"/>
  <c r="BN54" i="12" s="1"/>
  <c r="X54" i="12" s="1"/>
  <c r="AD54" i="12"/>
  <c r="W54" i="12"/>
  <c r="S54" i="12"/>
  <c r="BO53" i="12"/>
  <c r="Y53" i="12" s="1"/>
  <c r="BM53" i="12"/>
  <c r="BH53" i="12"/>
  <c r="BN53" i="12" s="1"/>
  <c r="X53" i="12" s="1"/>
  <c r="AD53" i="12"/>
  <c r="W53" i="12"/>
  <c r="S53" i="12"/>
  <c r="BO52" i="12"/>
  <c r="Y52" i="12" s="1"/>
  <c r="BM52" i="12"/>
  <c r="BH52" i="12"/>
  <c r="BN52" i="12" s="1"/>
  <c r="X52" i="12" s="1"/>
  <c r="AD52" i="12"/>
  <c r="W52" i="12"/>
  <c r="S52" i="12"/>
  <c r="BO51" i="12"/>
  <c r="Y51" i="12" s="1"/>
  <c r="BM51" i="12"/>
  <c r="BH51" i="12"/>
  <c r="BN51" i="12" s="1"/>
  <c r="X51" i="12" s="1"/>
  <c r="AD51" i="12"/>
  <c r="W51" i="12"/>
  <c r="S51" i="12"/>
  <c r="BO50" i="12"/>
  <c r="Y50" i="12" s="1"/>
  <c r="BM50" i="12"/>
  <c r="BH50" i="12"/>
  <c r="BN50" i="12" s="1"/>
  <c r="X50" i="12" s="1"/>
  <c r="AD50" i="12"/>
  <c r="W50" i="12"/>
  <c r="S50" i="12"/>
  <c r="BO49" i="12"/>
  <c r="Y49" i="12" s="1"/>
  <c r="BM49" i="12"/>
  <c r="BH49" i="12"/>
  <c r="BN49" i="12" s="1"/>
  <c r="X49" i="12" s="1"/>
  <c r="AD49" i="12"/>
  <c r="W49" i="12"/>
  <c r="S49" i="12"/>
  <c r="BO48" i="12"/>
  <c r="Y48" i="12" s="1"/>
  <c r="BM48" i="12"/>
  <c r="BH48" i="12"/>
  <c r="BN48" i="12" s="1"/>
  <c r="X48" i="12" s="1"/>
  <c r="AD48" i="12"/>
  <c r="W48" i="12"/>
  <c r="S48" i="12"/>
  <c r="BO47" i="12"/>
  <c r="Y47" i="12" s="1"/>
  <c r="BM47" i="12"/>
  <c r="BH47" i="12"/>
  <c r="BN47" i="12" s="1"/>
  <c r="X47" i="12" s="1"/>
  <c r="AD47" i="12"/>
  <c r="W47" i="12"/>
  <c r="S47" i="12"/>
  <c r="BO46" i="12"/>
  <c r="Y46" i="12" s="1"/>
  <c r="BM46" i="12"/>
  <c r="BH46" i="12"/>
  <c r="BN46" i="12" s="1"/>
  <c r="X46" i="12" s="1"/>
  <c r="AD46" i="12"/>
  <c r="W46" i="12"/>
  <c r="S46" i="12"/>
  <c r="BO45" i="12"/>
  <c r="Y45" i="12" s="1"/>
  <c r="BM45" i="12"/>
  <c r="BH45" i="12"/>
  <c r="BN45" i="12" s="1"/>
  <c r="X45" i="12" s="1"/>
  <c r="AD45" i="12"/>
  <c r="W45" i="12"/>
  <c r="S45" i="12"/>
  <c r="BO44" i="12"/>
  <c r="Y44" i="12" s="1"/>
  <c r="BM44" i="12"/>
  <c r="BH44" i="12"/>
  <c r="BN44" i="12" s="1"/>
  <c r="X44" i="12" s="1"/>
  <c r="AD44" i="12"/>
  <c r="W44" i="12"/>
  <c r="S44" i="12"/>
  <c r="BO43" i="12"/>
  <c r="Y43" i="12" s="1"/>
  <c r="BM43" i="12"/>
  <c r="BH43" i="12"/>
  <c r="BN43" i="12" s="1"/>
  <c r="X43" i="12" s="1"/>
  <c r="AD43" i="12"/>
  <c r="W43" i="12"/>
  <c r="S43" i="12"/>
  <c r="BO42" i="12"/>
  <c r="Y42" i="12" s="1"/>
  <c r="BM42" i="12"/>
  <c r="BH42" i="12"/>
  <c r="BN42" i="12" s="1"/>
  <c r="X42" i="12" s="1"/>
  <c r="AD42" i="12"/>
  <c r="W42" i="12"/>
  <c r="S42" i="12"/>
  <c r="BO41" i="12"/>
  <c r="Y41" i="12" s="1"/>
  <c r="BM41" i="12"/>
  <c r="BH41" i="12"/>
  <c r="BN41" i="12" s="1"/>
  <c r="X41" i="12" s="1"/>
  <c r="AD41" i="12"/>
  <c r="W41" i="12"/>
  <c r="S41" i="12"/>
  <c r="BO40" i="12"/>
  <c r="Y40" i="12" s="1"/>
  <c r="BM40" i="12"/>
  <c r="BH40" i="12"/>
  <c r="BN40" i="12" s="1"/>
  <c r="X40" i="12" s="1"/>
  <c r="AD40" i="12"/>
  <c r="W40" i="12"/>
  <c r="S40" i="12"/>
  <c r="BO39" i="12"/>
  <c r="Y39" i="12" s="1"/>
  <c r="BM39" i="12"/>
  <c r="BH39" i="12"/>
  <c r="BN39" i="12" s="1"/>
  <c r="X39" i="12" s="1"/>
  <c r="AD39" i="12"/>
  <c r="W39" i="12"/>
  <c r="S39" i="12"/>
  <c r="BO38" i="12"/>
  <c r="Y38" i="12" s="1"/>
  <c r="BM38" i="12"/>
  <c r="BH38" i="12"/>
  <c r="BN38" i="12" s="1"/>
  <c r="X38" i="12" s="1"/>
  <c r="AD38" i="12"/>
  <c r="W38" i="12"/>
  <c r="S38" i="12"/>
  <c r="BO37" i="12"/>
  <c r="Y37" i="12" s="1"/>
  <c r="BM37" i="12"/>
  <c r="BH37" i="12"/>
  <c r="BN37" i="12" s="1"/>
  <c r="X37" i="12" s="1"/>
  <c r="AD37" i="12"/>
  <c r="W37" i="12"/>
  <c r="S37" i="12"/>
  <c r="BO36" i="12"/>
  <c r="Y36" i="12" s="1"/>
  <c r="BM36" i="12"/>
  <c r="BH36" i="12"/>
  <c r="BN36" i="12" s="1"/>
  <c r="X36" i="12" s="1"/>
  <c r="AD36" i="12"/>
  <c r="W36" i="12"/>
  <c r="S36" i="12"/>
  <c r="BO35" i="12"/>
  <c r="Y35" i="12" s="1"/>
  <c r="BM35" i="12"/>
  <c r="BH35" i="12"/>
  <c r="BN35" i="12" s="1"/>
  <c r="X35" i="12" s="1"/>
  <c r="AD35" i="12"/>
  <c r="W35" i="12"/>
  <c r="S35" i="12"/>
  <c r="BO34" i="12"/>
  <c r="Y34" i="12" s="1"/>
  <c r="BM34" i="12"/>
  <c r="BH34" i="12"/>
  <c r="BN34" i="12" s="1"/>
  <c r="X34" i="12" s="1"/>
  <c r="AD34" i="12"/>
  <c r="W34" i="12"/>
  <c r="S34" i="12"/>
  <c r="BO33" i="12"/>
  <c r="Y33" i="12" s="1"/>
  <c r="BM33" i="12"/>
  <c r="BH33" i="12"/>
  <c r="BN33" i="12" s="1"/>
  <c r="X33" i="12" s="1"/>
  <c r="AD33" i="12"/>
  <c r="W33" i="12"/>
  <c r="S33" i="12"/>
  <c r="BO32" i="12"/>
  <c r="Y32" i="12" s="1"/>
  <c r="BM32" i="12"/>
  <c r="BH32" i="12"/>
  <c r="BN32" i="12" s="1"/>
  <c r="X32" i="12" s="1"/>
  <c r="AD32" i="12"/>
  <c r="W32" i="12"/>
  <c r="S32" i="12"/>
  <c r="BO31" i="12"/>
  <c r="Y31" i="12" s="1"/>
  <c r="BM31" i="12"/>
  <c r="BH31" i="12"/>
  <c r="BN31" i="12" s="1"/>
  <c r="X31" i="12" s="1"/>
  <c r="AD31" i="12"/>
  <c r="W31" i="12"/>
  <c r="S31" i="12"/>
  <c r="BO30" i="12"/>
  <c r="Y30" i="12" s="1"/>
  <c r="BM30" i="12"/>
  <c r="BH30" i="12"/>
  <c r="BN30" i="12" s="1"/>
  <c r="X30" i="12" s="1"/>
  <c r="AD30" i="12"/>
  <c r="W30" i="12"/>
  <c r="S30" i="12"/>
  <c r="BO29" i="12"/>
  <c r="Y29" i="12" s="1"/>
  <c r="BM29" i="12"/>
  <c r="BH29" i="12"/>
  <c r="BN29" i="12" s="1"/>
  <c r="X29" i="12" s="1"/>
  <c r="AD29" i="12"/>
  <c r="W29" i="12"/>
  <c r="S29" i="12"/>
  <c r="BO28" i="12"/>
  <c r="Y28" i="12" s="1"/>
  <c r="BM28" i="12"/>
  <c r="BH28" i="12"/>
  <c r="BN28" i="12" s="1"/>
  <c r="X28" i="12" s="1"/>
  <c r="AD28" i="12"/>
  <c r="W28" i="12"/>
  <c r="S28" i="12"/>
  <c r="BO27" i="12"/>
  <c r="Y27" i="12" s="1"/>
  <c r="BM27" i="12"/>
  <c r="BH27" i="12"/>
  <c r="BN27" i="12" s="1"/>
  <c r="X27" i="12" s="1"/>
  <c r="AD27" i="12"/>
  <c r="W27" i="12"/>
  <c r="S27" i="12"/>
  <c r="BO26" i="12"/>
  <c r="Y26" i="12" s="1"/>
  <c r="BM26" i="12"/>
  <c r="BH26" i="12"/>
  <c r="BN26" i="12" s="1"/>
  <c r="X26" i="12" s="1"/>
  <c r="AD26" i="12"/>
  <c r="W26" i="12"/>
  <c r="S26" i="12"/>
  <c r="BO25" i="12"/>
  <c r="Y25" i="12" s="1"/>
  <c r="BM25" i="12"/>
  <c r="BH25" i="12"/>
  <c r="BN25" i="12" s="1"/>
  <c r="X25" i="12" s="1"/>
  <c r="AD25" i="12"/>
  <c r="W25" i="12"/>
  <c r="S25" i="12"/>
  <c r="BO24" i="12"/>
  <c r="Y24" i="12" s="1"/>
  <c r="BM24" i="12"/>
  <c r="BH24" i="12"/>
  <c r="BN24" i="12" s="1"/>
  <c r="X24" i="12" s="1"/>
  <c r="AD24" i="12"/>
  <c r="W24" i="12"/>
  <c r="S24" i="12"/>
  <c r="BO23" i="12"/>
  <c r="Y23" i="12" s="1"/>
  <c r="BM23" i="12"/>
  <c r="BH23" i="12"/>
  <c r="BN23" i="12" s="1"/>
  <c r="X23" i="12" s="1"/>
  <c r="AD23" i="12"/>
  <c r="W23" i="12"/>
  <c r="S23" i="12"/>
  <c r="BO22" i="12"/>
  <c r="Y22" i="12" s="1"/>
  <c r="BM22" i="12"/>
  <c r="BH22" i="12"/>
  <c r="BN22" i="12" s="1"/>
  <c r="X22" i="12" s="1"/>
  <c r="AD22" i="12"/>
  <c r="W22" i="12"/>
  <c r="S22" i="12"/>
  <c r="BO21" i="12"/>
  <c r="Y21" i="12" s="1"/>
  <c r="BM21" i="12"/>
  <c r="BH21" i="12"/>
  <c r="BN21" i="12" s="1"/>
  <c r="X21" i="12" s="1"/>
  <c r="AD21" i="12"/>
  <c r="W21" i="12"/>
  <c r="S21" i="12"/>
  <c r="BO20" i="12"/>
  <c r="Y20" i="12" s="1"/>
  <c r="BM20" i="12"/>
  <c r="BH20" i="12"/>
  <c r="BN20" i="12" s="1"/>
  <c r="X20" i="12" s="1"/>
  <c r="AD20" i="12"/>
  <c r="W20" i="12"/>
  <c r="S20" i="12"/>
  <c r="BO19" i="12"/>
  <c r="Y19" i="12" s="1"/>
  <c r="BM19" i="12"/>
  <c r="BH19" i="12"/>
  <c r="BN19" i="12" s="1"/>
  <c r="X19" i="12" s="1"/>
  <c r="AD19" i="12"/>
  <c r="W19" i="12"/>
  <c r="S19" i="12"/>
  <c r="BO18" i="12"/>
  <c r="Y18" i="12" s="1"/>
  <c r="BM18" i="12"/>
  <c r="AD18" i="12"/>
  <c r="W18" i="12"/>
  <c r="S18" i="12"/>
  <c r="BH17" i="12"/>
  <c r="BN17" i="12" s="1"/>
  <c r="X17" i="12" s="1"/>
  <c r="AD17" i="12"/>
  <c r="W17" i="12"/>
  <c r="S17" i="12"/>
  <c r="W16" i="12"/>
  <c r="W15" i="12"/>
  <c r="BO16" i="12"/>
  <c r="Y16" i="12" s="1"/>
  <c r="BM16" i="12"/>
  <c r="BM15" i="12"/>
  <c r="S16" i="12"/>
  <c r="BH16" i="12"/>
  <c r="BN16" i="12" s="1"/>
  <c r="X16" i="12" s="1"/>
  <c r="BO15" i="12"/>
  <c r="Y15" i="12" s="1"/>
  <c r="I29" i="1"/>
  <c r="J29" i="1" s="1"/>
  <c r="G34" i="1"/>
  <c r="I34" i="1" s="1"/>
  <c r="J34" i="1" s="1"/>
  <c r="G31" i="1"/>
  <c r="I32" i="1"/>
  <c r="J32" i="1" s="1"/>
  <c r="D85" i="3"/>
  <c r="D83" i="3"/>
  <c r="F32" i="8"/>
  <c r="F36" i="8" s="1"/>
  <c r="F15" i="7"/>
  <c r="F17" i="7" s="1"/>
  <c r="H15" i="9"/>
  <c r="AE68" i="12"/>
  <c r="Q22" i="1"/>
  <c r="Q23" i="1"/>
  <c r="Q24" i="1"/>
  <c r="G10" i="1"/>
  <c r="F4" i="7"/>
  <c r="F4" i="8"/>
  <c r="G4" i="9"/>
  <c r="D82" i="3"/>
  <c r="H31" i="9"/>
  <c r="H34" i="9" s="1"/>
  <c r="O57" i="7"/>
  <c r="H58" i="9"/>
  <c r="H60" i="9" s="1"/>
  <c r="H62" i="9" s="1"/>
  <c r="I25" i="9"/>
  <c r="I27" i="9" s="1"/>
  <c r="P72" i="7"/>
  <c r="C84" i="3"/>
  <c r="D84" i="3" s="1"/>
  <c r="N57" i="7"/>
  <c r="P57" i="7"/>
  <c r="O58" i="7"/>
  <c r="N58" i="7"/>
  <c r="P58" i="7"/>
  <c r="O59" i="7"/>
  <c r="N59" i="7"/>
  <c r="P59" i="7"/>
  <c r="O60" i="7"/>
  <c r="N60" i="7"/>
  <c r="P60" i="7"/>
  <c r="O61" i="7"/>
  <c r="N61" i="7"/>
  <c r="P61" i="7"/>
  <c r="O62" i="7"/>
  <c r="N62" i="7"/>
  <c r="P62" i="7"/>
  <c r="O63" i="7"/>
  <c r="N63" i="7"/>
  <c r="P63" i="7"/>
  <c r="O64" i="7"/>
  <c r="N64" i="7"/>
  <c r="P64" i="7"/>
  <c r="O65" i="7"/>
  <c r="N65" i="7"/>
  <c r="P65" i="7"/>
  <c r="O66" i="7"/>
  <c r="N66" i="7"/>
  <c r="P66" i="7"/>
  <c r="O67" i="7"/>
  <c r="N67" i="7"/>
  <c r="P67" i="7"/>
  <c r="O68" i="7"/>
  <c r="N68" i="7"/>
  <c r="P68" i="7"/>
  <c r="O69" i="7"/>
  <c r="N69" i="7"/>
  <c r="P69" i="7"/>
  <c r="O70" i="7"/>
  <c r="N70" i="7"/>
  <c r="P70" i="7"/>
  <c r="O71" i="7"/>
  <c r="N71" i="7"/>
  <c r="P71" i="7"/>
  <c r="O72" i="7"/>
  <c r="N72" i="7"/>
  <c r="O73" i="7"/>
  <c r="N73" i="7"/>
  <c r="P73" i="7"/>
  <c r="O74" i="7"/>
  <c r="N74" i="7"/>
  <c r="P74" i="7"/>
  <c r="O75" i="7"/>
  <c r="N75" i="7"/>
  <c r="P75" i="7"/>
  <c r="O76" i="7"/>
  <c r="N76" i="7"/>
  <c r="P76" i="7"/>
  <c r="F42" i="7"/>
  <c r="F45" i="7" s="1"/>
  <c r="F48" i="7" s="1"/>
  <c r="F45" i="8"/>
  <c r="R26" i="8" s="1"/>
  <c r="L4" i="8"/>
  <c r="M4" i="8"/>
  <c r="P4" i="8"/>
  <c r="O4" i="8"/>
  <c r="L5" i="8"/>
  <c r="M5" i="8"/>
  <c r="P5" i="8"/>
  <c r="O5" i="8"/>
  <c r="L6" i="8"/>
  <c r="M6" i="8"/>
  <c r="P6" i="8"/>
  <c r="O6" i="8"/>
  <c r="L7" i="8"/>
  <c r="M7" i="8"/>
  <c r="P7" i="8"/>
  <c r="O7" i="8"/>
  <c r="L8" i="8"/>
  <c r="M8" i="8"/>
  <c r="P8" i="8"/>
  <c r="O8" i="8"/>
  <c r="L9" i="8"/>
  <c r="M9" i="8"/>
  <c r="P9" i="8"/>
  <c r="O9" i="8"/>
  <c r="L10" i="8"/>
  <c r="M10" i="8"/>
  <c r="P10" i="8"/>
  <c r="O10" i="8"/>
  <c r="L11" i="8"/>
  <c r="M11" i="8"/>
  <c r="P11" i="8"/>
  <c r="O11" i="8"/>
  <c r="L12" i="8"/>
  <c r="M12" i="8"/>
  <c r="P12" i="8"/>
  <c r="O12" i="8"/>
  <c r="L13" i="8"/>
  <c r="M13" i="8"/>
  <c r="P13" i="8"/>
  <c r="O13" i="8"/>
  <c r="L14" i="8"/>
  <c r="M14" i="8"/>
  <c r="P14" i="8"/>
  <c r="O14" i="8"/>
  <c r="L15" i="8"/>
  <c r="M15" i="8"/>
  <c r="P15" i="8"/>
  <c r="O15" i="8"/>
  <c r="L16" i="8"/>
  <c r="M16" i="8"/>
  <c r="P16" i="8"/>
  <c r="O16" i="8"/>
  <c r="L17" i="8"/>
  <c r="M17" i="8"/>
  <c r="P17" i="8"/>
  <c r="O17" i="8"/>
  <c r="L18" i="8"/>
  <c r="M18" i="8"/>
  <c r="P18" i="8"/>
  <c r="O18" i="8"/>
  <c r="L19" i="8"/>
  <c r="M19" i="8"/>
  <c r="P19" i="8"/>
  <c r="O19" i="8"/>
  <c r="L20" i="8"/>
  <c r="M20" i="8"/>
  <c r="P20" i="8"/>
  <c r="O20" i="8"/>
  <c r="L21" i="8"/>
  <c r="M21" i="8"/>
  <c r="P21" i="8"/>
  <c r="O21" i="8"/>
  <c r="L22" i="8"/>
  <c r="M22" i="8"/>
  <c r="P22" i="8"/>
  <c r="O22" i="8"/>
  <c r="L23" i="8"/>
  <c r="M23" i="8"/>
  <c r="P23" i="8"/>
  <c r="O23" i="8"/>
  <c r="L24" i="8"/>
  <c r="M24" i="8"/>
  <c r="P24" i="8"/>
  <c r="O24" i="8"/>
  <c r="L25" i="8"/>
  <c r="M25" i="8"/>
  <c r="P25" i="8"/>
  <c r="O25" i="8"/>
  <c r="L26" i="8"/>
  <c r="M26" i="8"/>
  <c r="P26" i="8"/>
  <c r="O26" i="8"/>
  <c r="L27" i="8"/>
  <c r="M27" i="8"/>
  <c r="P27" i="8"/>
  <c r="O27" i="8"/>
  <c r="L28" i="8"/>
  <c r="M28" i="8"/>
  <c r="P28" i="8"/>
  <c r="O28" i="8"/>
  <c r="L29" i="8"/>
  <c r="M29" i="8"/>
  <c r="P29" i="8"/>
  <c r="L30" i="8"/>
  <c r="M30" i="8"/>
  <c r="P30" i="8"/>
  <c r="M31" i="8"/>
  <c r="P31" i="8"/>
  <c r="M32" i="8"/>
  <c r="P32" i="8"/>
  <c r="M33" i="8"/>
  <c r="P33" i="8"/>
  <c r="M34" i="8"/>
  <c r="P34" i="8"/>
  <c r="M35" i="8"/>
  <c r="P35" i="8"/>
  <c r="M36" i="8"/>
  <c r="P36" i="8"/>
  <c r="M37" i="8"/>
  <c r="P37" i="8"/>
  <c r="M38" i="8"/>
  <c r="P38" i="8"/>
  <c r="S38" i="8"/>
  <c r="O29" i="8"/>
  <c r="O30" i="8"/>
  <c r="L31" i="8"/>
  <c r="O31" i="8"/>
  <c r="L32" i="8"/>
  <c r="O32" i="8"/>
  <c r="L33" i="8"/>
  <c r="O33" i="8"/>
  <c r="L34" i="8"/>
  <c r="O34" i="8"/>
  <c r="L35" i="8"/>
  <c r="O35" i="8"/>
  <c r="L36" i="8"/>
  <c r="O36" i="8"/>
  <c r="L37" i="8"/>
  <c r="O37" i="8"/>
  <c r="L38" i="8"/>
  <c r="O38" i="8"/>
  <c r="L39" i="8"/>
  <c r="M39" i="8"/>
  <c r="O39" i="8"/>
  <c r="P39" i="8"/>
  <c r="L40" i="8"/>
  <c r="M40" i="8"/>
  <c r="O40" i="8"/>
  <c r="P40" i="8"/>
  <c r="L41" i="8"/>
  <c r="M41" i="8"/>
  <c r="O41" i="8"/>
  <c r="P41" i="8"/>
  <c r="L42" i="8"/>
  <c r="M42" i="8"/>
  <c r="O42" i="8"/>
  <c r="P42" i="8"/>
  <c r="L43" i="8"/>
  <c r="M43" i="8"/>
  <c r="O43" i="8"/>
  <c r="P43" i="8"/>
  <c r="L44" i="8"/>
  <c r="M44" i="8"/>
  <c r="O44" i="8"/>
  <c r="P44" i="8"/>
  <c r="L45" i="8"/>
  <c r="M45" i="8"/>
  <c r="O45" i="8"/>
  <c r="P45" i="8"/>
  <c r="L46" i="8"/>
  <c r="M46" i="8"/>
  <c r="O46" i="8"/>
  <c r="P46" i="8"/>
  <c r="L47" i="8"/>
  <c r="M47" i="8"/>
  <c r="O47" i="8"/>
  <c r="P47" i="8"/>
  <c r="L48" i="8"/>
  <c r="M48" i="8"/>
  <c r="O48" i="8"/>
  <c r="P48" i="8"/>
  <c r="L49" i="8"/>
  <c r="M49" i="8"/>
  <c r="O49" i="8"/>
  <c r="P49" i="8"/>
  <c r="H25" i="9"/>
  <c r="H30" i="9" s="1"/>
  <c r="I28" i="9"/>
  <c r="S41" i="8"/>
  <c r="BI62" i="12"/>
  <c r="BI59" i="12"/>
  <c r="BI69" i="12"/>
  <c r="BI67" i="12"/>
  <c r="BI65" i="12"/>
  <c r="BI58" i="12"/>
  <c r="BI56" i="12"/>
  <c r="BI54" i="12"/>
  <c r="BI52" i="12"/>
  <c r="BI50" i="12"/>
  <c r="BI48" i="12"/>
  <c r="BI46" i="12"/>
  <c r="BI44" i="12"/>
  <c r="BI42" i="12"/>
  <c r="BI40" i="12"/>
  <c r="BI38" i="12"/>
  <c r="BI36" i="12"/>
  <c r="BI34" i="12"/>
  <c r="BI32" i="12"/>
  <c r="BI30" i="12"/>
  <c r="BI28" i="12"/>
  <c r="BI26" i="12"/>
  <c r="BI24" i="12"/>
  <c r="BI22" i="12"/>
  <c r="BI20" i="12"/>
  <c r="BI63" i="12"/>
  <c r="BI61" i="12"/>
  <c r="BI60" i="12"/>
  <c r="BI66" i="12"/>
  <c r="BI64" i="12"/>
  <c r="BI57" i="12"/>
  <c r="BI55" i="12"/>
  <c r="BI53" i="12"/>
  <c r="BI51" i="12"/>
  <c r="BI49" i="12"/>
  <c r="BI47" i="12"/>
  <c r="BI45" i="12"/>
  <c r="BI43" i="12"/>
  <c r="BI41" i="12"/>
  <c r="BI39" i="12"/>
  <c r="BI37" i="12"/>
  <c r="BI35" i="12"/>
  <c r="BI33" i="12"/>
  <c r="BI31" i="12"/>
  <c r="BI29" i="12"/>
  <c r="BI27" i="12"/>
  <c r="BI25" i="12"/>
  <c r="BI23" i="12"/>
  <c r="BI21" i="12"/>
  <c r="BI19" i="12"/>
  <c r="AI65" i="12"/>
  <c r="AT65" i="12" s="1"/>
  <c r="AI62" i="12"/>
  <c r="AT62" i="12" s="1"/>
  <c r="AI59" i="12"/>
  <c r="AT59" i="12" s="1"/>
  <c r="AI63" i="12"/>
  <c r="AT63" i="12" s="1"/>
  <c r="AI60" i="12"/>
  <c r="AT60" i="12" s="1"/>
  <c r="AI61" i="12"/>
  <c r="AT61" i="12" s="1"/>
  <c r="AI56" i="12"/>
  <c r="AT56" i="12" s="1"/>
  <c r="AI54" i="12"/>
  <c r="AT54" i="12" s="1"/>
  <c r="AI32" i="12"/>
  <c r="AT32" i="12" s="1"/>
  <c r="AI38" i="12"/>
  <c r="AT38" i="12" s="1"/>
  <c r="AI30" i="12"/>
  <c r="AT30" i="12" s="1"/>
  <c r="AI28" i="12"/>
  <c r="AT28" i="12" s="1"/>
  <c r="AI67" i="12"/>
  <c r="AT67" i="12" s="1"/>
  <c r="AI52" i="12"/>
  <c r="AT52" i="12" s="1"/>
  <c r="AI58" i="12"/>
  <c r="AT58" i="12" s="1"/>
  <c r="AI46" i="12"/>
  <c r="AT46" i="12" s="1"/>
  <c r="AI50" i="12"/>
  <c r="AT50" i="12" s="1"/>
  <c r="AI48" i="12"/>
  <c r="AT48" i="12" s="1"/>
  <c r="AI31" i="12"/>
  <c r="AT31" i="12" s="1"/>
  <c r="AI33" i="12"/>
  <c r="AT33" i="12" s="1"/>
  <c r="AI29" i="12"/>
  <c r="AT29" i="12" s="1"/>
  <c r="AI36" i="12"/>
  <c r="AT36" i="12" s="1"/>
  <c r="AI44" i="12"/>
  <c r="AT44" i="12" s="1"/>
  <c r="AI45" i="12"/>
  <c r="AT45" i="12" s="1"/>
  <c r="AI51" i="12"/>
  <c r="AT51" i="12" s="1"/>
  <c r="AI42" i="12"/>
  <c r="AT42" i="12" s="1"/>
  <c r="AI43" i="12"/>
  <c r="AT43" i="12" s="1"/>
  <c r="AI57" i="12"/>
  <c r="AT57" i="12" s="1"/>
  <c r="AI66" i="12"/>
  <c r="AT66" i="12" s="1"/>
  <c r="AI34" i="12"/>
  <c r="AT34" i="12" s="1"/>
  <c r="AI35" i="12"/>
  <c r="AT35" i="12" s="1"/>
  <c r="AI37" i="12"/>
  <c r="AT37" i="12" s="1"/>
  <c r="AI40" i="12"/>
  <c r="AT40" i="12" s="1"/>
  <c r="AI41" i="12"/>
  <c r="AT41" i="12" s="1"/>
  <c r="AI47" i="12"/>
  <c r="AT47" i="12" s="1"/>
  <c r="AI55" i="12"/>
  <c r="AT55" i="12" s="1"/>
  <c r="AI64" i="12"/>
  <c r="AT64" i="12" s="1"/>
  <c r="AI39" i="12"/>
  <c r="AT39" i="12" s="1"/>
  <c r="AI49" i="12"/>
  <c r="AT49" i="12" s="1"/>
  <c r="AI53" i="12"/>
  <c r="AT53" i="12" s="1"/>
  <c r="AI27" i="12"/>
  <c r="AT27" i="12" s="1"/>
  <c r="AI26" i="12"/>
  <c r="AT26" i="12" s="1"/>
  <c r="AI25" i="12"/>
  <c r="AT25" i="12" s="1"/>
  <c r="AI24" i="12"/>
  <c r="AT24" i="12" s="1"/>
  <c r="AI23" i="12"/>
  <c r="AT23" i="12" s="1"/>
  <c r="AI22" i="12"/>
  <c r="AT22" i="12" s="1"/>
  <c r="AI21" i="12"/>
  <c r="AT21" i="12" s="1"/>
  <c r="AI20" i="12"/>
  <c r="AT20" i="12" s="1"/>
  <c r="AI19" i="12"/>
  <c r="AT19" i="12" s="1"/>
  <c r="AI18" i="12"/>
  <c r="AT18" i="12" s="1"/>
  <c r="R42" i="8"/>
  <c r="R32" i="8"/>
  <c r="R38" i="8"/>
  <c r="R27" i="8"/>
  <c r="R47" i="8"/>
  <c r="S36" i="8"/>
  <c r="R40" i="8"/>
  <c r="S28" i="8"/>
  <c r="R34" i="8"/>
  <c r="R25" i="8"/>
  <c r="S47" i="8"/>
  <c r="S35" i="8"/>
  <c r="S27" i="8"/>
  <c r="R24" i="8"/>
  <c r="S24" i="8"/>
  <c r="R33" i="8"/>
  <c r="S39" i="8"/>
  <c r="R29" i="8"/>
  <c r="R49" i="8"/>
  <c r="S40" i="8"/>
  <c r="S30" i="8"/>
  <c r="AI69" i="12"/>
  <c r="AT69" i="12" s="1"/>
  <c r="U47" i="8" l="1"/>
  <c r="R39" i="8"/>
  <c r="U39" i="8" s="1"/>
  <c r="S31" i="8"/>
  <c r="H33" i="9"/>
  <c r="H35" i="9" s="1"/>
  <c r="R44" i="8"/>
  <c r="S48" i="8"/>
  <c r="S45" i="8"/>
  <c r="R30" i="8"/>
  <c r="U30" i="8" s="1"/>
  <c r="S25" i="8"/>
  <c r="S44" i="8"/>
  <c r="R37" i="8"/>
  <c r="R46" i="8"/>
  <c r="S42" i="8"/>
  <c r="S43" i="8"/>
  <c r="R48" i="8"/>
  <c r="S26" i="8"/>
  <c r="U26" i="8" s="1"/>
  <c r="S46" i="8"/>
  <c r="S37" i="8"/>
  <c r="R45" i="8"/>
  <c r="U45" i="8" s="1"/>
  <c r="R36" i="8"/>
  <c r="U36" i="8" s="1"/>
  <c r="S29" i="8"/>
  <c r="S32" i="8"/>
  <c r="U32" i="8" s="1"/>
  <c r="R41" i="8"/>
  <c r="U41" i="8" s="1"/>
  <c r="R31" i="8"/>
  <c r="S33" i="8"/>
  <c r="R43" i="8"/>
  <c r="U43" i="8" s="1"/>
  <c r="R35" i="8"/>
  <c r="U35" i="8" s="1"/>
  <c r="R28" i="8"/>
  <c r="U28" i="8" s="1"/>
  <c r="S49" i="8"/>
  <c r="S34" i="8"/>
  <c r="U34" i="8" s="1"/>
  <c r="AI17" i="12"/>
  <c r="AT17" i="12" s="1"/>
  <c r="U38" i="8"/>
  <c r="U40" i="8"/>
  <c r="AE69" i="12"/>
  <c r="AE56" i="12"/>
  <c r="AE43" i="12"/>
  <c r="AE32" i="12"/>
  <c r="AE35" i="12"/>
  <c r="AE24" i="12"/>
  <c r="I17" i="1"/>
  <c r="I19" i="1" s="1"/>
  <c r="I27" i="1" s="1"/>
  <c r="AE64" i="12"/>
  <c r="AE27" i="12"/>
  <c r="AE48" i="12"/>
  <c r="AE16" i="12"/>
  <c r="P16" i="12"/>
  <c r="AE51" i="12"/>
  <c r="AE19" i="12"/>
  <c r="AE40" i="12"/>
  <c r="U19" i="12"/>
  <c r="V21" i="12"/>
  <c r="V23" i="12"/>
  <c r="U25" i="12"/>
  <c r="U51" i="12"/>
  <c r="AE60" i="12"/>
  <c r="AE55" i="12"/>
  <c r="AE47" i="12"/>
  <c r="AE39" i="12"/>
  <c r="AE31" i="12"/>
  <c r="AE23" i="12"/>
  <c r="AE62" i="12"/>
  <c r="AE65" i="12"/>
  <c r="AE52" i="12"/>
  <c r="AE44" i="12"/>
  <c r="AE36" i="12"/>
  <c r="AE28" i="12"/>
  <c r="AE20" i="12"/>
  <c r="U23" i="12"/>
  <c r="AE61" i="12"/>
  <c r="AE66" i="12"/>
  <c r="AE57" i="12"/>
  <c r="AE53" i="12"/>
  <c r="AE49" i="12"/>
  <c r="AE45" i="12"/>
  <c r="AE41" i="12"/>
  <c r="AE37" i="12"/>
  <c r="AE33" i="12"/>
  <c r="AE29" i="12"/>
  <c r="AE25" i="12"/>
  <c r="AE21" i="12"/>
  <c r="AE17" i="12"/>
  <c r="AE59" i="12"/>
  <c r="AE67" i="12"/>
  <c r="AE58" i="12"/>
  <c r="AE54" i="12"/>
  <c r="AE50" i="12"/>
  <c r="AE46" i="12"/>
  <c r="AE42" i="12"/>
  <c r="AE38" i="12"/>
  <c r="AE34" i="12"/>
  <c r="AE30" i="12"/>
  <c r="AE26" i="12"/>
  <c r="AE22" i="12"/>
  <c r="AE18" i="12"/>
  <c r="J37" i="1"/>
  <c r="I37" i="1" s="1"/>
  <c r="H14" i="7"/>
  <c r="S72" i="7" s="1"/>
  <c r="U27" i="8"/>
  <c r="BE68" i="12"/>
  <c r="I10" i="1"/>
  <c r="P15" i="12"/>
  <c r="V29" i="12"/>
  <c r="V53" i="12"/>
  <c r="V65" i="12"/>
  <c r="U27" i="12"/>
  <c r="U39" i="12"/>
  <c r="U50" i="12"/>
  <c r="U49" i="8"/>
  <c r="U54" i="12"/>
  <c r="U46" i="12"/>
  <c r="U38" i="12"/>
  <c r="U61" i="12"/>
  <c r="AD15" i="12"/>
  <c r="U48" i="8"/>
  <c r="AD16" i="12"/>
  <c r="U20" i="12"/>
  <c r="V28" i="12"/>
  <c r="U36" i="12"/>
  <c r="U44" i="12"/>
  <c r="U31" i="12"/>
  <c r="U45" i="12"/>
  <c r="V49" i="12"/>
  <c r="U67" i="12"/>
  <c r="V38" i="12"/>
  <c r="U18" i="12"/>
  <c r="V27" i="12"/>
  <c r="U29" i="8"/>
  <c r="U33" i="8"/>
  <c r="U25" i="8"/>
  <c r="U42" i="8"/>
  <c r="U24" i="8"/>
  <c r="V56" i="12"/>
  <c r="K33" i="9"/>
  <c r="H17" i="9"/>
  <c r="K31" i="9"/>
  <c r="U44" i="8"/>
  <c r="F18" i="8"/>
  <c r="V18" i="12"/>
  <c r="V26" i="12"/>
  <c r="U28" i="12"/>
  <c r="V50" i="12"/>
  <c r="U64" i="12"/>
  <c r="V22" i="12"/>
  <c r="V40" i="12"/>
  <c r="U21" i="12"/>
  <c r="V25" i="12"/>
  <c r="U29" i="12"/>
  <c r="U26" i="12"/>
  <c r="U30" i="12"/>
  <c r="U60" i="12"/>
  <c r="V69" i="12"/>
  <c r="U17" i="12"/>
  <c r="V17" i="12"/>
  <c r="U69" i="12"/>
  <c r="V31" i="12"/>
  <c r="V62" i="12"/>
  <c r="U62" i="12"/>
  <c r="V58" i="12"/>
  <c r="U58" i="12"/>
  <c r="U42" i="12"/>
  <c r="V42" i="12"/>
  <c r="V36" i="12"/>
  <c r="U24" i="12"/>
  <c r="V24" i="12"/>
  <c r="V20" i="12"/>
  <c r="U66" i="12"/>
  <c r="V48" i="12"/>
  <c r="U48" i="12"/>
  <c r="U55" i="12"/>
  <c r="V52" i="12"/>
  <c r="U52" i="12"/>
  <c r="V19" i="12"/>
  <c r="V35" i="12"/>
  <c r="V37" i="12"/>
  <c r="U37" i="12"/>
  <c r="V41" i="12"/>
  <c r="U41" i="12"/>
  <c r="U43" i="12"/>
  <c r="U49" i="12"/>
  <c r="U57" i="12"/>
  <c r="V57" i="12"/>
  <c r="V59" i="12"/>
  <c r="U59" i="12"/>
  <c r="U65" i="12"/>
  <c r="V34" i="12"/>
  <c r="U34" i="12"/>
  <c r="U40" i="12"/>
  <c r="U56" i="12"/>
  <c r="V60" i="12"/>
  <c r="V64" i="12"/>
  <c r="V66" i="12"/>
  <c r="V39" i="12"/>
  <c r="U53" i="12"/>
  <c r="V45" i="12"/>
  <c r="V54" i="12"/>
  <c r="V46" i="12"/>
  <c r="V32" i="12"/>
  <c r="U32" i="12"/>
  <c r="V63" i="12"/>
  <c r="U63" i="12"/>
  <c r="U35" i="12"/>
  <c r="Z35" i="12" s="1"/>
  <c r="AC35" i="12" s="1"/>
  <c r="V33" i="12"/>
  <c r="U33" i="12"/>
  <c r="V43" i="12"/>
  <c r="V47" i="12"/>
  <c r="U47" i="12"/>
  <c r="V51" i="12"/>
  <c r="V55" i="12"/>
  <c r="V61" i="12"/>
  <c r="V67" i="12"/>
  <c r="V44" i="12"/>
  <c r="V30" i="12"/>
  <c r="U22" i="12"/>
  <c r="J10" i="1"/>
  <c r="BE67" i="12"/>
  <c r="BF33" i="12"/>
  <c r="BF31" i="12"/>
  <c r="BE51" i="12"/>
  <c r="BG16" i="12"/>
  <c r="BE46" i="12"/>
  <c r="BE35" i="12"/>
  <c r="BF42" i="12"/>
  <c r="BF25" i="12"/>
  <c r="BE38" i="12"/>
  <c r="BE54" i="12"/>
  <c r="BF49" i="12"/>
  <c r="BE43" i="12"/>
  <c r="BE64" i="12"/>
  <c r="BF58" i="12"/>
  <c r="BE29" i="12"/>
  <c r="BG59" i="12"/>
  <c r="BE15" i="12"/>
  <c r="BE24" i="12"/>
  <c r="BG26" i="12"/>
  <c r="BG29" i="12"/>
  <c r="BE34" i="12"/>
  <c r="BF32" i="12"/>
  <c r="BE42" i="12"/>
  <c r="BE50" i="12"/>
  <c r="BE58" i="12"/>
  <c r="BF41" i="12"/>
  <c r="BF57" i="12"/>
  <c r="BE39" i="12"/>
  <c r="BE47" i="12"/>
  <c r="BE55" i="12"/>
  <c r="BG69" i="12"/>
  <c r="BF50" i="12"/>
  <c r="BF15" i="12"/>
  <c r="BE33" i="12"/>
  <c r="BF60" i="12"/>
  <c r="BG60" i="12"/>
  <c r="BF34" i="12"/>
  <c r="BF16" i="12"/>
  <c r="BF17" i="12"/>
  <c r="BF18" i="12"/>
  <c r="BF19" i="12"/>
  <c r="BF20" i="12"/>
  <c r="BF21" i="12"/>
  <c r="BF22" i="12"/>
  <c r="BF23" i="12"/>
  <c r="BG24" i="12"/>
  <c r="BE26" i="12"/>
  <c r="BF27" i="12"/>
  <c r="BE36" i="12"/>
  <c r="BE32" i="12"/>
  <c r="BG31" i="12"/>
  <c r="BF28" i="12"/>
  <c r="BE40" i="12"/>
  <c r="BE44" i="12"/>
  <c r="BE48" i="12"/>
  <c r="BE52" i="12"/>
  <c r="BE56" i="12"/>
  <c r="BE65" i="12"/>
  <c r="BF37" i="12"/>
  <c r="BF45" i="12"/>
  <c r="BF53" i="12"/>
  <c r="BF66" i="12"/>
  <c r="BE37" i="12"/>
  <c r="BE41" i="12"/>
  <c r="BE45" i="12"/>
  <c r="BE49" i="12"/>
  <c r="BE53" i="12"/>
  <c r="BE57" i="12"/>
  <c r="BE66" i="12"/>
  <c r="BF38" i="12"/>
  <c r="BF46" i="12"/>
  <c r="BF54" i="12"/>
  <c r="BF67" i="12"/>
  <c r="BE31" i="12"/>
  <c r="BF63" i="12"/>
  <c r="BG63" i="12"/>
  <c r="BF62" i="12"/>
  <c r="BG62" i="12"/>
  <c r="BG61" i="12"/>
  <c r="BG68" i="12"/>
  <c r="BE16" i="12"/>
  <c r="BG15" i="12"/>
  <c r="BE17" i="12"/>
  <c r="BG17" i="12"/>
  <c r="BE18" i="12"/>
  <c r="BG18" i="12"/>
  <c r="BE19" i="12"/>
  <c r="BG19" i="12"/>
  <c r="BE20" i="12"/>
  <c r="BG20" i="12"/>
  <c r="BE21" i="12"/>
  <c r="BG21" i="12"/>
  <c r="BE22" i="12"/>
  <c r="BG22" i="12"/>
  <c r="BE23" i="12"/>
  <c r="BG23" i="12"/>
  <c r="BF24" i="12"/>
  <c r="BE25" i="12"/>
  <c r="BG25" i="12"/>
  <c r="BF26" i="12"/>
  <c r="BE27" i="12"/>
  <c r="BG27" i="12"/>
  <c r="BF29" i="12"/>
  <c r="BF35" i="12"/>
  <c r="BG33" i="12"/>
  <c r="BE30" i="12"/>
  <c r="BE28" i="12"/>
  <c r="BG35" i="12"/>
  <c r="BF30" i="12"/>
  <c r="BG37" i="12"/>
  <c r="BG39" i="12"/>
  <c r="BG41" i="12"/>
  <c r="BG43" i="12"/>
  <c r="BG45" i="12"/>
  <c r="BG47" i="12"/>
  <c r="BG49" i="12"/>
  <c r="BG51" i="12"/>
  <c r="BG53" i="12"/>
  <c r="BG55" i="12"/>
  <c r="BG57" i="12"/>
  <c r="BG64" i="12"/>
  <c r="BG66" i="12"/>
  <c r="BE69" i="12"/>
  <c r="BF39" i="12"/>
  <c r="BF43" i="12"/>
  <c r="BF47" i="12"/>
  <c r="BF51" i="12"/>
  <c r="BF55" i="12"/>
  <c r="BF64" i="12"/>
  <c r="BG34" i="12"/>
  <c r="BG36" i="12"/>
  <c r="BG38" i="12"/>
  <c r="BG40" i="12"/>
  <c r="BG42" i="12"/>
  <c r="BG44" i="12"/>
  <c r="BG46" i="12"/>
  <c r="BG48" i="12"/>
  <c r="BG50" i="12"/>
  <c r="BG52" i="12"/>
  <c r="BG54" i="12"/>
  <c r="BG56" i="12"/>
  <c r="BG58" i="12"/>
  <c r="BG65" i="12"/>
  <c r="BG67" i="12"/>
  <c r="BF36" i="12"/>
  <c r="BF40" i="12"/>
  <c r="BF44" i="12"/>
  <c r="BF48" i="12"/>
  <c r="BF52" i="12"/>
  <c r="BF56" i="12"/>
  <c r="BF65" i="12"/>
  <c r="BF69" i="12"/>
  <c r="BG32" i="12"/>
  <c r="BG30" i="12"/>
  <c r="BG28" i="12"/>
  <c r="BE62" i="12"/>
  <c r="BE59" i="12"/>
  <c r="BE61" i="12"/>
  <c r="BF59" i="12"/>
  <c r="BF61" i="12"/>
  <c r="BE63" i="12"/>
  <c r="BE60" i="12"/>
  <c r="BF68" i="12"/>
  <c r="V68" i="12"/>
  <c r="U68" i="12"/>
  <c r="H27" i="9"/>
  <c r="AE63" i="12"/>
  <c r="J27" i="1" l="1"/>
  <c r="I39" i="1"/>
  <c r="J39" i="1"/>
  <c r="I52" i="1" s="1"/>
  <c r="J52" i="1" s="1"/>
  <c r="U37" i="8"/>
  <c r="U31" i="8"/>
  <c r="U46" i="8"/>
  <c r="Z56" i="12"/>
  <c r="AC56" i="12" s="1"/>
  <c r="AF56" i="12" s="1"/>
  <c r="AH56" i="12" s="1"/>
  <c r="AF35" i="12"/>
  <c r="AH35" i="12" s="1"/>
  <c r="Z29" i="12"/>
  <c r="AC29" i="12" s="1"/>
  <c r="AM56" i="12"/>
  <c r="AL56" i="12"/>
  <c r="Z49" i="12"/>
  <c r="AC49" i="12" s="1"/>
  <c r="AF49" i="12" s="1"/>
  <c r="H31" i="8"/>
  <c r="R17" i="8" s="1"/>
  <c r="BI17" i="12"/>
  <c r="Z21" i="12"/>
  <c r="AC21" i="12" s="1"/>
  <c r="AF21" i="12" s="1"/>
  <c r="Z69" i="12"/>
  <c r="AC69" i="12" s="1"/>
  <c r="AF69" i="12" s="1"/>
  <c r="Z22" i="12"/>
  <c r="AC22" i="12" s="1"/>
  <c r="AF22" i="12" s="1"/>
  <c r="Z53" i="12"/>
  <c r="AC53" i="12" s="1"/>
  <c r="AF53" i="12" s="1"/>
  <c r="Z41" i="12"/>
  <c r="AC41" i="12" s="1"/>
  <c r="AF41" i="12" s="1"/>
  <c r="Z62" i="12"/>
  <c r="AC62" i="12" s="1"/>
  <c r="AF62" i="12" s="1"/>
  <c r="Z33" i="12"/>
  <c r="AC33" i="12" s="1"/>
  <c r="AF33" i="12" s="1"/>
  <c r="Z59" i="12"/>
  <c r="AC59" i="12" s="1"/>
  <c r="AF59" i="12" s="1"/>
  <c r="Z37" i="12"/>
  <c r="AC37" i="12" s="1"/>
  <c r="AF37" i="12" s="1"/>
  <c r="Z25" i="12"/>
  <c r="AC25" i="12" s="1"/>
  <c r="AF25" i="12" s="1"/>
  <c r="Z55" i="12"/>
  <c r="AC55" i="12" s="1"/>
  <c r="AF55" i="12" s="1"/>
  <c r="Z30" i="12"/>
  <c r="AC30" i="12" s="1"/>
  <c r="AF30" i="12" s="1"/>
  <c r="Z31" i="12"/>
  <c r="AC31" i="12" s="1"/>
  <c r="AF31" i="12" s="1"/>
  <c r="Z38" i="12"/>
  <c r="AC38" i="12" s="1"/>
  <c r="AF38" i="12" s="1"/>
  <c r="Q15" i="12"/>
  <c r="AI15" i="12" s="1"/>
  <c r="AT15" i="12" s="1"/>
  <c r="Z68" i="12"/>
  <c r="AC68" i="12" s="1"/>
  <c r="AF68" i="12" s="1"/>
  <c r="Z63" i="12"/>
  <c r="AC63" i="12" s="1"/>
  <c r="AF63" i="12" s="1"/>
  <c r="Z48" i="12"/>
  <c r="AC48" i="12" s="1"/>
  <c r="AF48" i="12" s="1"/>
  <c r="Z26" i="12"/>
  <c r="AC26" i="12" s="1"/>
  <c r="AF26" i="12" s="1"/>
  <c r="Z28" i="12"/>
  <c r="AC28" i="12" s="1"/>
  <c r="AF28" i="12" s="1"/>
  <c r="Z67" i="12"/>
  <c r="AC67" i="12" s="1"/>
  <c r="AF67" i="12" s="1"/>
  <c r="Z44" i="12"/>
  <c r="AC44" i="12" s="1"/>
  <c r="AF44" i="12" s="1"/>
  <c r="Q16" i="12"/>
  <c r="U16" i="12" s="1"/>
  <c r="Z65" i="12"/>
  <c r="AC65" i="12" s="1"/>
  <c r="AF65" i="12" s="1"/>
  <c r="Z42" i="12"/>
  <c r="AC42" i="12" s="1"/>
  <c r="AF42" i="12" s="1"/>
  <c r="Z46" i="12"/>
  <c r="AC46" i="12" s="1"/>
  <c r="AF46" i="12" s="1"/>
  <c r="Z23" i="12"/>
  <c r="AC23" i="12" s="1"/>
  <c r="AF23" i="12" s="1"/>
  <c r="Z40" i="12"/>
  <c r="AC40" i="12" s="1"/>
  <c r="AF40" i="12" s="1"/>
  <c r="Z52" i="12"/>
  <c r="AC52" i="12" s="1"/>
  <c r="AF52" i="12" s="1"/>
  <c r="Z24" i="12"/>
  <c r="AC24" i="12" s="1"/>
  <c r="AF24" i="12" s="1"/>
  <c r="Z58" i="12"/>
  <c r="AC58" i="12" s="1"/>
  <c r="AF58" i="12" s="1"/>
  <c r="Z18" i="12"/>
  <c r="AC18" i="12" s="1"/>
  <c r="AF18" i="12" s="1"/>
  <c r="Z36" i="12"/>
  <c r="AC36" i="12" s="1"/>
  <c r="AF36" i="12" s="1"/>
  <c r="Z54" i="12"/>
  <c r="AC54" i="12" s="1"/>
  <c r="AF54" i="12" s="1"/>
  <c r="Z39" i="12"/>
  <c r="AC39" i="12" s="1"/>
  <c r="AF39" i="12" s="1"/>
  <c r="Z20" i="12"/>
  <c r="AC20" i="12" s="1"/>
  <c r="AF20" i="12" s="1"/>
  <c r="Z57" i="12"/>
  <c r="AC57" i="12" s="1"/>
  <c r="AF57" i="12" s="1"/>
  <c r="Z17" i="12"/>
  <c r="AC17" i="12" s="1"/>
  <c r="AF17" i="12" s="1"/>
  <c r="Z50" i="12"/>
  <c r="AC50" i="12" s="1"/>
  <c r="AF50" i="12" s="1"/>
  <c r="Z47" i="12"/>
  <c r="AC47" i="12" s="1"/>
  <c r="AF47" i="12" s="1"/>
  <c r="Z32" i="12"/>
  <c r="AC32" i="12" s="1"/>
  <c r="AF32" i="12" s="1"/>
  <c r="Z34" i="12"/>
  <c r="AC34" i="12" s="1"/>
  <c r="AF34" i="12" s="1"/>
  <c r="Z43" i="12"/>
  <c r="AC43" i="12" s="1"/>
  <c r="AF43" i="12" s="1"/>
  <c r="Z66" i="12"/>
  <c r="AC66" i="12" s="1"/>
  <c r="AF66" i="12" s="1"/>
  <c r="Z60" i="12"/>
  <c r="AC60" i="12" s="1"/>
  <c r="AF60" i="12" s="1"/>
  <c r="Z64" i="12"/>
  <c r="AC64" i="12" s="1"/>
  <c r="AF64" i="12" s="1"/>
  <c r="Z45" i="12"/>
  <c r="AC45" i="12" s="1"/>
  <c r="AF45" i="12" s="1"/>
  <c r="Z61" i="12"/>
  <c r="AC61" i="12" s="1"/>
  <c r="AF61" i="12" s="1"/>
  <c r="Z27" i="12"/>
  <c r="AC27" i="12" s="1"/>
  <c r="AF27" i="12" s="1"/>
  <c r="Z51" i="12"/>
  <c r="AC51" i="12" s="1"/>
  <c r="AF51" i="12" s="1"/>
  <c r="Z19" i="12"/>
  <c r="AC19" i="12" s="1"/>
  <c r="AF19" i="12" s="1"/>
  <c r="I30" i="1"/>
  <c r="J30" i="1" s="1"/>
  <c r="I31" i="1"/>
  <c r="J31" i="1" s="1"/>
  <c r="J16" i="1"/>
  <c r="BI16" i="12"/>
  <c r="BI15" i="12"/>
  <c r="H17" i="8"/>
  <c r="S23" i="8" s="1"/>
  <c r="R61" i="7"/>
  <c r="S73" i="7"/>
  <c r="F25" i="7"/>
  <c r="F27" i="7" s="1"/>
  <c r="R59" i="7"/>
  <c r="R64" i="7"/>
  <c r="R65" i="7"/>
  <c r="R60" i="7"/>
  <c r="S57" i="7"/>
  <c r="R70" i="7"/>
  <c r="R63" i="7"/>
  <c r="R68" i="7"/>
  <c r="R67" i="7"/>
  <c r="S63" i="7"/>
  <c r="S61" i="7"/>
  <c r="R66" i="7"/>
  <c r="R69" i="7"/>
  <c r="R75" i="7"/>
  <c r="S75" i="7"/>
  <c r="S64" i="7"/>
  <c r="S65" i="7"/>
  <c r="R76" i="7"/>
  <c r="S58" i="7"/>
  <c r="S67" i="7"/>
  <c r="S62" i="7"/>
  <c r="R62" i="7"/>
  <c r="S68" i="7"/>
  <c r="F28" i="7"/>
  <c r="R58" i="7"/>
  <c r="S74" i="7"/>
  <c r="S66" i="7"/>
  <c r="S70" i="7"/>
  <c r="S59" i="7"/>
  <c r="R74" i="7"/>
  <c r="S69" i="7"/>
  <c r="R72" i="7"/>
  <c r="U72" i="7" s="1"/>
  <c r="R57" i="7"/>
  <c r="S71" i="7"/>
  <c r="S76" i="7"/>
  <c r="R71" i="7"/>
  <c r="S60" i="7"/>
  <c r="R73" i="7"/>
  <c r="R16" i="8"/>
  <c r="J33" i="9"/>
  <c r="J31" i="9"/>
  <c r="J34" i="9"/>
  <c r="I35" i="1" l="1"/>
  <c r="I38" i="1" s="1"/>
  <c r="J35" i="1"/>
  <c r="J38" i="1" s="1"/>
  <c r="AK56" i="12"/>
  <c r="R14" i="8"/>
  <c r="AF29" i="12"/>
  <c r="AH29" i="12" s="1"/>
  <c r="AH66" i="12"/>
  <c r="AH20" i="12"/>
  <c r="AH40" i="12"/>
  <c r="AH28" i="12"/>
  <c r="AH68" i="12"/>
  <c r="AH53" i="12"/>
  <c r="AH21" i="12"/>
  <c r="AH49" i="12"/>
  <c r="BQ49" i="12" s="1"/>
  <c r="BT49" i="12" s="1"/>
  <c r="BU49" i="12" s="1"/>
  <c r="AH50" i="12"/>
  <c r="AH58" i="12"/>
  <c r="AH23" i="12"/>
  <c r="AH61" i="12"/>
  <c r="AH47" i="12"/>
  <c r="AH18" i="12"/>
  <c r="AH65" i="12"/>
  <c r="AH30" i="12"/>
  <c r="AH19" i="12"/>
  <c r="AH43" i="12"/>
  <c r="AH39" i="12"/>
  <c r="AH26" i="12"/>
  <c r="AK51" i="12"/>
  <c r="AH64" i="12"/>
  <c r="AH17" i="12"/>
  <c r="AH54" i="12"/>
  <c r="AH24" i="12"/>
  <c r="AH46" i="12"/>
  <c r="AH44" i="12"/>
  <c r="AK44" i="12"/>
  <c r="AH48" i="12"/>
  <c r="AK38" i="12"/>
  <c r="AH25" i="12"/>
  <c r="AH62" i="12"/>
  <c r="AH69" i="12"/>
  <c r="AH27" i="12"/>
  <c r="BQ27" i="12" s="1"/>
  <c r="BT27" i="12" s="1"/>
  <c r="BU27" i="12" s="1"/>
  <c r="AH60" i="12"/>
  <c r="AH36" i="12"/>
  <c r="AN36" i="12" s="1"/>
  <c r="AH52" i="12"/>
  <c r="AK42" i="12"/>
  <c r="AH63" i="12"/>
  <c r="AH31" i="12"/>
  <c r="AH41" i="12"/>
  <c r="AK35" i="12"/>
  <c r="AL66" i="12"/>
  <c r="AM66" i="12"/>
  <c r="AM18" i="12"/>
  <c r="AL18" i="12"/>
  <c r="AM28" i="12"/>
  <c r="AL28" i="12"/>
  <c r="AL19" i="12"/>
  <c r="AM19" i="12"/>
  <c r="AL43" i="12"/>
  <c r="AM43" i="12"/>
  <c r="AL50" i="12"/>
  <c r="AM50" i="12"/>
  <c r="AL39" i="12"/>
  <c r="AM39" i="12"/>
  <c r="AM58" i="12"/>
  <c r="AL58" i="12"/>
  <c r="AL23" i="12"/>
  <c r="AM23" i="12"/>
  <c r="AL26" i="12"/>
  <c r="AM26" i="12"/>
  <c r="AL35" i="12"/>
  <c r="AM35" i="12"/>
  <c r="AL47" i="12"/>
  <c r="AM47" i="12"/>
  <c r="AM40" i="12"/>
  <c r="AL40" i="12"/>
  <c r="AL68" i="12"/>
  <c r="AM68" i="12"/>
  <c r="AM53" i="12"/>
  <c r="AL53" i="12"/>
  <c r="AL49" i="12"/>
  <c r="AM49" i="12"/>
  <c r="AL51" i="12"/>
  <c r="AM51" i="12"/>
  <c r="AM64" i="12"/>
  <c r="AL64" i="12"/>
  <c r="AL54" i="12"/>
  <c r="AM54" i="12"/>
  <c r="AM24" i="12"/>
  <c r="AL24" i="12"/>
  <c r="AM46" i="12"/>
  <c r="AL46" i="12"/>
  <c r="AM44" i="12"/>
  <c r="AL44" i="12"/>
  <c r="AM48" i="12"/>
  <c r="AL48" i="12"/>
  <c r="AL38" i="12"/>
  <c r="AM38" i="12"/>
  <c r="AM25" i="12"/>
  <c r="AL25" i="12"/>
  <c r="AL62" i="12"/>
  <c r="AM62" i="12"/>
  <c r="AM69" i="12"/>
  <c r="AL69" i="12"/>
  <c r="AL61" i="12"/>
  <c r="AM61" i="12"/>
  <c r="AM20" i="12"/>
  <c r="AL20" i="12"/>
  <c r="AM65" i="12"/>
  <c r="AL65" i="12"/>
  <c r="AL30" i="12"/>
  <c r="AM30" i="12"/>
  <c r="AM21" i="12"/>
  <c r="AL21" i="12"/>
  <c r="AL27" i="12"/>
  <c r="AM27" i="12"/>
  <c r="AM60" i="12"/>
  <c r="AL60" i="12"/>
  <c r="AM36" i="12"/>
  <c r="AL36" i="12"/>
  <c r="AM52" i="12"/>
  <c r="AL52" i="12"/>
  <c r="AL42" i="12"/>
  <c r="AM42" i="12"/>
  <c r="AL63" i="12"/>
  <c r="AM63" i="12"/>
  <c r="AL31" i="12"/>
  <c r="AM31" i="12"/>
  <c r="AM41" i="12"/>
  <c r="AL41" i="12"/>
  <c r="AM29" i="12"/>
  <c r="AL29" i="12"/>
  <c r="R7" i="8"/>
  <c r="R13" i="8"/>
  <c r="R8" i="8"/>
  <c r="R19" i="8"/>
  <c r="R6" i="8"/>
  <c r="R10" i="8"/>
  <c r="R18" i="8"/>
  <c r="R12" i="8"/>
  <c r="R21" i="8"/>
  <c r="R5" i="8"/>
  <c r="R22" i="8"/>
  <c r="R9" i="8"/>
  <c r="R23" i="8"/>
  <c r="U23" i="8" s="1"/>
  <c r="R15" i="8"/>
  <c r="R4" i="8"/>
  <c r="R11" i="8"/>
  <c r="R20" i="8"/>
  <c r="AH45" i="12"/>
  <c r="AH55" i="12"/>
  <c r="AH33" i="12"/>
  <c r="AH22" i="12"/>
  <c r="AH34" i="12"/>
  <c r="AH59" i="12"/>
  <c r="AH32" i="12"/>
  <c r="AH57" i="12"/>
  <c r="AH67" i="12"/>
  <c r="AH37" i="12"/>
  <c r="AK19" i="12"/>
  <c r="AK43" i="12"/>
  <c r="AK58" i="12"/>
  <c r="AK24" i="12"/>
  <c r="AK46" i="12"/>
  <c r="V15" i="12"/>
  <c r="AK52" i="12"/>
  <c r="U15" i="12"/>
  <c r="AK18" i="12"/>
  <c r="AK68" i="12"/>
  <c r="Q70" i="12"/>
  <c r="Q13" i="12" s="1"/>
  <c r="V16" i="12"/>
  <c r="Z16" i="12" s="1"/>
  <c r="AC16" i="12" s="1"/>
  <c r="AF16" i="12" s="1"/>
  <c r="AI16" i="12"/>
  <c r="AT16" i="12" s="1"/>
  <c r="AK39" i="12"/>
  <c r="AK62" i="12"/>
  <c r="AK23" i="12"/>
  <c r="AK63" i="12"/>
  <c r="AK25" i="12"/>
  <c r="AK27" i="12"/>
  <c r="AK21" i="12"/>
  <c r="AK61" i="12"/>
  <c r="AK17" i="12"/>
  <c r="AK30" i="12"/>
  <c r="AK36" i="12"/>
  <c r="AK65" i="12"/>
  <c r="AK66" i="12"/>
  <c r="AK20" i="12"/>
  <c r="U74" i="7"/>
  <c r="S10" i="8"/>
  <c r="U10" i="8" s="1"/>
  <c r="S12" i="8"/>
  <c r="S14" i="8"/>
  <c r="U14" i="8" s="1"/>
  <c r="S7" i="8"/>
  <c r="S15" i="8"/>
  <c r="U15" i="8" s="1"/>
  <c r="S22" i="8"/>
  <c r="U22" i="8" s="1"/>
  <c r="S13" i="8"/>
  <c r="S21" i="8"/>
  <c r="U21" i="8" s="1"/>
  <c r="S11" i="8"/>
  <c r="S16" i="8"/>
  <c r="U16" i="8" s="1"/>
  <c r="S9" i="8"/>
  <c r="U9" i="8" s="1"/>
  <c r="S4" i="8"/>
  <c r="F19" i="8"/>
  <c r="F21" i="8" s="1"/>
  <c r="F42" i="8" s="1"/>
  <c r="F44" i="8" s="1"/>
  <c r="U71" i="7"/>
  <c r="S6" i="8"/>
  <c r="S5" i="8"/>
  <c r="S18" i="8"/>
  <c r="U18" i="8" s="1"/>
  <c r="S19" i="8"/>
  <c r="S20" i="8"/>
  <c r="U64" i="7"/>
  <c r="S8" i="8"/>
  <c r="U8" i="8" s="1"/>
  <c r="S17" i="8"/>
  <c r="U17" i="8" s="1"/>
  <c r="U70" i="7"/>
  <c r="U61" i="7"/>
  <c r="U73" i="7"/>
  <c r="U60" i="7"/>
  <c r="U59" i="7"/>
  <c r="U68" i="7"/>
  <c r="U67" i="7"/>
  <c r="U65" i="7"/>
  <c r="U57" i="7"/>
  <c r="U69" i="7"/>
  <c r="U66" i="7"/>
  <c r="U58" i="7"/>
  <c r="U63" i="7"/>
  <c r="U62" i="7"/>
  <c r="U75" i="7"/>
  <c r="U76" i="7"/>
  <c r="J36" i="9"/>
  <c r="J38" i="9" s="1"/>
  <c r="J39" i="9" s="1"/>
  <c r="J35" i="9"/>
  <c r="I43" i="1" l="1"/>
  <c r="AK29" i="12"/>
  <c r="U7" i="8"/>
  <c r="AK49" i="12"/>
  <c r="AK47" i="12"/>
  <c r="AH42" i="12"/>
  <c r="BQ42" i="12" s="1"/>
  <c r="BT42" i="12" s="1"/>
  <c r="BU42" i="12" s="1"/>
  <c r="AH38" i="12"/>
  <c r="BR38" i="12" s="1"/>
  <c r="AH51" i="12"/>
  <c r="AK41" i="12"/>
  <c r="AK69" i="12"/>
  <c r="AK54" i="12"/>
  <c r="AK48" i="12"/>
  <c r="AK53" i="12"/>
  <c r="AK28" i="12"/>
  <c r="AK60" i="12"/>
  <c r="AK64" i="12"/>
  <c r="AH16" i="12"/>
  <c r="U6" i="8"/>
  <c r="U5" i="8"/>
  <c r="U13" i="8"/>
  <c r="BQ34" i="12"/>
  <c r="BT34" i="12" s="1"/>
  <c r="BU34" i="12" s="1"/>
  <c r="BV34" i="12" s="1"/>
  <c r="AM34" i="12"/>
  <c r="AL34" i="12"/>
  <c r="AL57" i="12"/>
  <c r="AM57" i="12"/>
  <c r="AL22" i="12"/>
  <c r="AM22" i="12"/>
  <c r="AR49" i="12"/>
  <c r="AS49" i="12"/>
  <c r="AQ49" i="12"/>
  <c r="AL67" i="12"/>
  <c r="AM67" i="12"/>
  <c r="AR27" i="12"/>
  <c r="AS27" i="12"/>
  <c r="AQ27" i="12"/>
  <c r="AM32" i="12"/>
  <c r="AL32" i="12"/>
  <c r="AM33" i="12"/>
  <c r="AL33" i="12"/>
  <c r="AL45" i="12"/>
  <c r="AM45" i="12"/>
  <c r="AM37" i="12"/>
  <c r="AL37" i="12"/>
  <c r="AL59" i="12"/>
  <c r="AM59" i="12"/>
  <c r="AL55" i="12"/>
  <c r="AM55" i="12"/>
  <c r="U19" i="8"/>
  <c r="U20" i="8"/>
  <c r="U12" i="8"/>
  <c r="U11" i="8"/>
  <c r="U4" i="8"/>
  <c r="Z15" i="12"/>
  <c r="AC15" i="12" s="1"/>
  <c r="AF15" i="12" s="1"/>
  <c r="AK37" i="12"/>
  <c r="AK57" i="12"/>
  <c r="AK59" i="12"/>
  <c r="AK22" i="12"/>
  <c r="AK55" i="12"/>
  <c r="AK67" i="12"/>
  <c r="AK32" i="12"/>
  <c r="AK34" i="12"/>
  <c r="AK33" i="12"/>
  <c r="AK45" i="12"/>
  <c r="BQ30" i="12"/>
  <c r="BT30" i="12" s="1"/>
  <c r="BU30" i="12" s="1"/>
  <c r="BR29" i="12"/>
  <c r="BR36" i="12"/>
  <c r="AN27" i="12"/>
  <c r="BS47" i="12"/>
  <c r="AK40" i="12"/>
  <c r="AK31" i="12"/>
  <c r="AK50" i="12"/>
  <c r="BQ41" i="12"/>
  <c r="BT41" i="12" s="1"/>
  <c r="BU41" i="12" s="1"/>
  <c r="BS63" i="12"/>
  <c r="BS54" i="12"/>
  <c r="BQ17" i="12"/>
  <c r="BR62" i="12"/>
  <c r="AK26" i="12"/>
  <c r="AN53" i="12"/>
  <c r="BQ65" i="12"/>
  <c r="BT65" i="12" s="1"/>
  <c r="BU65" i="12" s="1"/>
  <c r="BS49" i="12"/>
  <c r="AN20" i="12"/>
  <c r="BR39" i="12"/>
  <c r="BS25" i="12"/>
  <c r="BQ36" i="12"/>
  <c r="BT36" i="12" s="1"/>
  <c r="BU36" i="12" s="1"/>
  <c r="BQ48" i="12"/>
  <c r="BT48" i="12" s="1"/>
  <c r="BU48" i="12" s="1"/>
  <c r="BS36" i="12"/>
  <c r="BS27" i="12"/>
  <c r="BR49" i="12"/>
  <c r="BQ66" i="12"/>
  <c r="BT66" i="12" s="1"/>
  <c r="BU66" i="12" s="1"/>
  <c r="BR27" i="12"/>
  <c r="AN49" i="12"/>
  <c r="BS61" i="12"/>
  <c r="BS69" i="12"/>
  <c r="AK16" i="12"/>
  <c r="BR18" i="12"/>
  <c r="BS26" i="12"/>
  <c r="AN45" i="12"/>
  <c r="BR56" i="12"/>
  <c r="BS34" i="12"/>
  <c r="BR50" i="12"/>
  <c r="AN44" i="12"/>
  <c r="AN34" i="12"/>
  <c r="BS58" i="12"/>
  <c r="BQ31" i="12"/>
  <c r="BT31" i="12" s="1"/>
  <c r="BU31" i="12" s="1"/>
  <c r="BS32" i="12"/>
  <c r="BR43" i="12"/>
  <c r="AN37" i="12"/>
  <c r="BR34" i="12"/>
  <c r="BS22" i="12"/>
  <c r="U78" i="7"/>
  <c r="F31" i="7" s="1"/>
  <c r="BS28" i="12"/>
  <c r="BR57" i="12"/>
  <c r="BR59" i="12"/>
  <c r="BS29" i="12"/>
  <c r="AN29" i="12"/>
  <c r="BQ29" i="12"/>
  <c r="BT29" i="12" s="1"/>
  <c r="BU29" i="12" s="1"/>
  <c r="BR21" i="12"/>
  <c r="BQ21" i="12"/>
  <c r="BT21" i="12" s="1"/>
  <c r="BU21" i="12" s="1"/>
  <c r="AN21" i="12"/>
  <c r="BS21" i="12"/>
  <c r="BV49" i="12"/>
  <c r="BR30" i="12"/>
  <c r="AN30" i="12"/>
  <c r="BV27" i="12"/>
  <c r="S11" i="1" l="1"/>
  <c r="T11" i="1"/>
  <c r="AH15" i="12"/>
  <c r="AM15" i="12" s="1"/>
  <c r="BV41" i="12"/>
  <c r="AR41" i="12"/>
  <c r="AQ41" i="12"/>
  <c r="AS41" i="12"/>
  <c r="BV21" i="12"/>
  <c r="AR21" i="12"/>
  <c r="AS21" i="12"/>
  <c r="AQ21" i="12"/>
  <c r="BV66" i="12"/>
  <c r="AR66" i="12"/>
  <c r="AQ66" i="12"/>
  <c r="AS66" i="12"/>
  <c r="BW27" i="12"/>
  <c r="AP27" i="12"/>
  <c r="AW27" i="12" s="1"/>
  <c r="BW49" i="12"/>
  <c r="AP49" i="12"/>
  <c r="AW49" i="12" s="1"/>
  <c r="BV36" i="12"/>
  <c r="AR36" i="12"/>
  <c r="AQ36" i="12"/>
  <c r="AS36" i="12"/>
  <c r="BV29" i="12"/>
  <c r="AR29" i="12"/>
  <c r="AQ29" i="12"/>
  <c r="AS29" i="12"/>
  <c r="BV42" i="12"/>
  <c r="AR42" i="12"/>
  <c r="AQ42" i="12"/>
  <c r="AS42" i="12"/>
  <c r="AR30" i="12"/>
  <c r="AQ30" i="12"/>
  <c r="AS30" i="12"/>
  <c r="BW34" i="12"/>
  <c r="AP34" i="12"/>
  <c r="BV31" i="12"/>
  <c r="AR31" i="12"/>
  <c r="AS31" i="12"/>
  <c r="AQ31" i="12"/>
  <c r="BV48" i="12"/>
  <c r="AR48" i="12"/>
  <c r="AQ48" i="12"/>
  <c r="AS48" i="12"/>
  <c r="BV65" i="12"/>
  <c r="AR65" i="12"/>
  <c r="AQ65" i="12"/>
  <c r="AS65" i="12"/>
  <c r="AR34" i="12"/>
  <c r="AQ34" i="12"/>
  <c r="AS34" i="12"/>
  <c r="U51" i="8"/>
  <c r="U52" i="8" s="1"/>
  <c r="F46" i="8" s="1"/>
  <c r="BS30" i="12"/>
  <c r="BR24" i="12"/>
  <c r="BQ54" i="12"/>
  <c r="BT54" i="12" s="1"/>
  <c r="BU54" i="12" s="1"/>
  <c r="BQ61" i="12"/>
  <c r="BT61" i="12" s="1"/>
  <c r="BU61" i="12" s="1"/>
  <c r="AN54" i="12"/>
  <c r="BS19" i="12"/>
  <c r="BS65" i="12"/>
  <c r="BS60" i="12"/>
  <c r="BR54" i="12"/>
  <c r="AN65" i="12"/>
  <c r="BR65" i="12"/>
  <c r="AN68" i="12"/>
  <c r="BQ62" i="12"/>
  <c r="BT62" i="12" s="1"/>
  <c r="BU62" i="12" s="1"/>
  <c r="AN48" i="12"/>
  <c r="BR53" i="12"/>
  <c r="BS66" i="12"/>
  <c r="BR51" i="12"/>
  <c r="BR17" i="12"/>
  <c r="AN17" i="12"/>
  <c r="BS17" i="12"/>
  <c r="AM17" i="12"/>
  <c r="AL17" i="12"/>
  <c r="BQ69" i="12"/>
  <c r="BT69" i="12" s="1"/>
  <c r="BU69" i="12" s="1"/>
  <c r="BR63" i="12"/>
  <c r="AN63" i="12"/>
  <c r="BS62" i="12"/>
  <c r="BR42" i="12"/>
  <c r="AN62" i="12"/>
  <c r="BQ63" i="12"/>
  <c r="BT63" i="12" s="1"/>
  <c r="BU63" i="12" s="1"/>
  <c r="AN47" i="12"/>
  <c r="BQ47" i="12"/>
  <c r="BT47" i="12" s="1"/>
  <c r="BU47" i="12" s="1"/>
  <c r="BR47" i="12"/>
  <c r="BS42" i="12"/>
  <c r="BQ20" i="12"/>
  <c r="BT20" i="12" s="1"/>
  <c r="BU20" i="12" s="1"/>
  <c r="AN61" i="12"/>
  <c r="BR66" i="12"/>
  <c r="BS48" i="12"/>
  <c r="BS41" i="12"/>
  <c r="BS53" i="12"/>
  <c r="BS38" i="12"/>
  <c r="BR61" i="12"/>
  <c r="AN66" i="12"/>
  <c r="BS20" i="12"/>
  <c r="BQ53" i="12"/>
  <c r="BT53" i="12" s="1"/>
  <c r="BU53" i="12" s="1"/>
  <c r="BQ38" i="12"/>
  <c r="BT38" i="12" s="1"/>
  <c r="BU38" i="12" s="1"/>
  <c r="AN38" i="12"/>
  <c r="BR48" i="12"/>
  <c r="AN41" i="12"/>
  <c r="BR41" i="12"/>
  <c r="BR19" i="12"/>
  <c r="AN39" i="12"/>
  <c r="AN69" i="12"/>
  <c r="AN42" i="12"/>
  <c r="BQ39" i="12"/>
  <c r="BT39" i="12" s="1"/>
  <c r="BU39" i="12" s="1"/>
  <c r="BS39" i="12"/>
  <c r="BR20" i="12"/>
  <c r="BQ25" i="12"/>
  <c r="BT25" i="12" s="1"/>
  <c r="BU25" i="12" s="1"/>
  <c r="AN25" i="12"/>
  <c r="BR25" i="12"/>
  <c r="AM16" i="12"/>
  <c r="BQ18" i="12"/>
  <c r="BT18" i="12" s="1"/>
  <c r="BU18" i="12" s="1"/>
  <c r="BR69" i="12"/>
  <c r="AN26" i="12"/>
  <c r="BR26" i="12"/>
  <c r="BR23" i="12"/>
  <c r="BQ23" i="12"/>
  <c r="BT23" i="12" s="1"/>
  <c r="BU23" i="12" s="1"/>
  <c r="AN23" i="12"/>
  <c r="BS23" i="12"/>
  <c r="BR32" i="12"/>
  <c r="BS18" i="12"/>
  <c r="BQ45" i="12"/>
  <c r="BT45" i="12" s="1"/>
  <c r="BU45" i="12" s="1"/>
  <c r="AN50" i="12"/>
  <c r="BQ26" i="12"/>
  <c r="BT26" i="12" s="1"/>
  <c r="BU26" i="12" s="1"/>
  <c r="BS50" i="12"/>
  <c r="BR45" i="12"/>
  <c r="AN18" i="12"/>
  <c r="AN56" i="12"/>
  <c r="BQ56" i="12"/>
  <c r="BT56" i="12" s="1"/>
  <c r="BU56" i="12" s="1"/>
  <c r="BQ50" i="12"/>
  <c r="BT50" i="12" s="1"/>
  <c r="BU50" i="12" s="1"/>
  <c r="BS56" i="12"/>
  <c r="BR44" i="12"/>
  <c r="BS43" i="12"/>
  <c r="BS45" i="12"/>
  <c r="BS37" i="12"/>
  <c r="BQ44" i="12"/>
  <c r="BT44" i="12" s="1"/>
  <c r="BU44" i="12" s="1"/>
  <c r="BS44" i="12"/>
  <c r="AN31" i="12"/>
  <c r="U79" i="7"/>
  <c r="F29" i="7" s="1"/>
  <c r="BR58" i="12"/>
  <c r="AN58" i="12"/>
  <c r="BQ32" i="12"/>
  <c r="BT32" i="12" s="1"/>
  <c r="BU32" i="12" s="1"/>
  <c r="BQ58" i="12"/>
  <c r="BT58" i="12" s="1"/>
  <c r="BU58" i="12" s="1"/>
  <c r="BR22" i="12"/>
  <c r="BR31" i="12"/>
  <c r="BS31" i="12"/>
  <c r="BQ57" i="12"/>
  <c r="BT57" i="12" s="1"/>
  <c r="BU57" i="12" s="1"/>
  <c r="AN32" i="12"/>
  <c r="BQ37" i="12"/>
  <c r="BT37" i="12" s="1"/>
  <c r="BU37" i="12" s="1"/>
  <c r="BR37" i="12"/>
  <c r="AN43" i="12"/>
  <c r="BQ43" i="12"/>
  <c r="BT43" i="12" s="1"/>
  <c r="BU43" i="12" s="1"/>
  <c r="AN59" i="12"/>
  <c r="BS24" i="12"/>
  <c r="BQ24" i="12"/>
  <c r="BT24" i="12" s="1"/>
  <c r="BU24" i="12" s="1"/>
  <c r="BS59" i="12"/>
  <c r="BQ22" i="12"/>
  <c r="BT22" i="12" s="1"/>
  <c r="BU22" i="12" s="1"/>
  <c r="BQ40" i="12"/>
  <c r="BT40" i="12" s="1"/>
  <c r="BU40" i="12" s="1"/>
  <c r="BR40" i="12"/>
  <c r="BS40" i="12"/>
  <c r="AN40" i="12"/>
  <c r="BQ28" i="12"/>
  <c r="BT28" i="12" s="1"/>
  <c r="BU28" i="12" s="1"/>
  <c r="BS46" i="12"/>
  <c r="BQ46" i="12"/>
  <c r="BT46" i="12" s="1"/>
  <c r="BU46" i="12" s="1"/>
  <c r="BR46" i="12"/>
  <c r="AN46" i="12"/>
  <c r="AN22" i="12"/>
  <c r="AN28" i="12"/>
  <c r="BR28" i="12"/>
  <c r="BS64" i="12"/>
  <c r="BR64" i="12"/>
  <c r="AN64" i="12"/>
  <c r="BQ64" i="12"/>
  <c r="BT64" i="12" s="1"/>
  <c r="BU64" i="12" s="1"/>
  <c r="BR67" i="12"/>
  <c r="BS67" i="12"/>
  <c r="AN67" i="12"/>
  <c r="BQ67" i="12"/>
  <c r="BT67" i="12" s="1"/>
  <c r="BU67" i="12" s="1"/>
  <c r="BS57" i="12"/>
  <c r="AN57" i="12"/>
  <c r="BS55" i="12"/>
  <c r="BQ55" i="12"/>
  <c r="BT55" i="12" s="1"/>
  <c r="BU55" i="12" s="1"/>
  <c r="AN55" i="12"/>
  <c r="BR55" i="12"/>
  <c r="BQ59" i="12"/>
  <c r="BT59" i="12" s="1"/>
  <c r="BU59" i="12" s="1"/>
  <c r="BR35" i="12"/>
  <c r="BQ35" i="12"/>
  <c r="BT35" i="12" s="1"/>
  <c r="BU35" i="12" s="1"/>
  <c r="BS35" i="12"/>
  <c r="AN35" i="12"/>
  <c r="AN52" i="12"/>
  <c r="BQ52" i="12"/>
  <c r="BT52" i="12" s="1"/>
  <c r="BU52" i="12" s="1"/>
  <c r="BS52" i="12"/>
  <c r="BR52" i="12"/>
  <c r="BV30" i="12"/>
  <c r="BS33" i="12"/>
  <c r="AN33" i="12"/>
  <c r="BQ33" i="12"/>
  <c r="BT33" i="12" s="1"/>
  <c r="BU33" i="12" s="1"/>
  <c r="BR33" i="12"/>
  <c r="J43" i="1" l="1"/>
  <c r="AV27" i="12"/>
  <c r="AK15" i="12"/>
  <c r="F48" i="8"/>
  <c r="AV49" i="12"/>
  <c r="AW34" i="12"/>
  <c r="AX34" i="12" s="1"/>
  <c r="AZ27" i="12"/>
  <c r="AX27" i="12"/>
  <c r="AV34" i="12"/>
  <c r="AZ49" i="12"/>
  <c r="AX49" i="12"/>
  <c r="BV64" i="12"/>
  <c r="AR64" i="12"/>
  <c r="AS64" i="12"/>
  <c r="AQ64" i="12"/>
  <c r="BV40" i="12"/>
  <c r="AR40" i="12"/>
  <c r="AS40" i="12"/>
  <c r="AQ40" i="12"/>
  <c r="BV38" i="12"/>
  <c r="AR38" i="12"/>
  <c r="AQ38" i="12"/>
  <c r="AS38" i="12"/>
  <c r="BV32" i="12"/>
  <c r="AR32" i="12"/>
  <c r="AQ32" i="12"/>
  <c r="AS32" i="12"/>
  <c r="BV44" i="12"/>
  <c r="AR44" i="12"/>
  <c r="AQ44" i="12"/>
  <c r="AS44" i="12"/>
  <c r="BV18" i="12"/>
  <c r="AR18" i="12"/>
  <c r="AQ18" i="12"/>
  <c r="AS18" i="12"/>
  <c r="BV25" i="12"/>
  <c r="AR25" i="12"/>
  <c r="AQ25" i="12"/>
  <c r="AS25" i="12"/>
  <c r="BV39" i="12"/>
  <c r="AR39" i="12"/>
  <c r="AS39" i="12"/>
  <c r="AQ39" i="12"/>
  <c r="BV47" i="12"/>
  <c r="AR47" i="12"/>
  <c r="AS47" i="12"/>
  <c r="AQ47" i="12"/>
  <c r="BV69" i="12"/>
  <c r="AR69" i="12"/>
  <c r="AQ69" i="12"/>
  <c r="AS69" i="12"/>
  <c r="BW65" i="12"/>
  <c r="AP65" i="12"/>
  <c r="AV65" i="12" s="1"/>
  <c r="BW48" i="12"/>
  <c r="AP48" i="12"/>
  <c r="BW31" i="12"/>
  <c r="AP31" i="12"/>
  <c r="AV31" i="12" s="1"/>
  <c r="BW30" i="12"/>
  <c r="AP30" i="12"/>
  <c r="BV59" i="12"/>
  <c r="AR59" i="12"/>
  <c r="AS59" i="12"/>
  <c r="AQ59" i="12"/>
  <c r="BV67" i="12"/>
  <c r="AR67" i="12"/>
  <c r="AS67" i="12"/>
  <c r="AQ67" i="12"/>
  <c r="BV43" i="12"/>
  <c r="AR43" i="12"/>
  <c r="AS43" i="12"/>
  <c r="AQ43" i="12"/>
  <c r="BV63" i="12"/>
  <c r="AR63" i="12"/>
  <c r="AS63" i="12"/>
  <c r="AQ63" i="12"/>
  <c r="BV62" i="12"/>
  <c r="AR62" i="12"/>
  <c r="AQ62" i="12"/>
  <c r="AS62" i="12"/>
  <c r="BV54" i="12"/>
  <c r="AR54" i="12"/>
  <c r="AQ54" i="12"/>
  <c r="AS54" i="12"/>
  <c r="BV33" i="12"/>
  <c r="AR33" i="12"/>
  <c r="AS33" i="12"/>
  <c r="AQ33" i="12"/>
  <c r="BV35" i="12"/>
  <c r="AR35" i="12"/>
  <c r="AS35" i="12"/>
  <c r="AQ35" i="12"/>
  <c r="BV46" i="12"/>
  <c r="AR46" i="12"/>
  <c r="AQ46" i="12"/>
  <c r="AS46" i="12"/>
  <c r="BV22" i="12"/>
  <c r="AR22" i="12"/>
  <c r="AQ22" i="12"/>
  <c r="AS22" i="12"/>
  <c r="BV24" i="12"/>
  <c r="AR24" i="12"/>
  <c r="AQ24" i="12"/>
  <c r="AS24" i="12"/>
  <c r="BV57" i="12"/>
  <c r="AR57" i="12"/>
  <c r="AQ57" i="12"/>
  <c r="AS57" i="12"/>
  <c r="BV58" i="12"/>
  <c r="AR58" i="12"/>
  <c r="AQ58" i="12"/>
  <c r="AS58" i="12"/>
  <c r="BV50" i="12"/>
  <c r="AR50" i="12"/>
  <c r="AQ50" i="12"/>
  <c r="AS50" i="12"/>
  <c r="BV26" i="12"/>
  <c r="AR26" i="12"/>
  <c r="AQ26" i="12"/>
  <c r="AS26" i="12"/>
  <c r="BV23" i="12"/>
  <c r="AR23" i="12"/>
  <c r="AS23" i="12"/>
  <c r="AQ23" i="12"/>
  <c r="BV53" i="12"/>
  <c r="AR53" i="12"/>
  <c r="AQ53" i="12"/>
  <c r="AS53" i="12"/>
  <c r="BV52" i="12"/>
  <c r="AR52" i="12"/>
  <c r="AS52" i="12"/>
  <c r="AQ52" i="12"/>
  <c r="BV55" i="12"/>
  <c r="AR55" i="12"/>
  <c r="AS55" i="12"/>
  <c r="AQ55" i="12"/>
  <c r="BV28" i="12"/>
  <c r="AR28" i="12"/>
  <c r="AS28" i="12"/>
  <c r="AQ28" i="12"/>
  <c r="BV37" i="12"/>
  <c r="AR37" i="12"/>
  <c r="AQ37" i="12"/>
  <c r="AS37" i="12"/>
  <c r="BV56" i="12"/>
  <c r="AR56" i="12"/>
  <c r="AQ56" i="12"/>
  <c r="AS56" i="12"/>
  <c r="BV45" i="12"/>
  <c r="AR45" i="12"/>
  <c r="AQ45" i="12"/>
  <c r="AS45" i="12"/>
  <c r="BV20" i="12"/>
  <c r="AR20" i="12"/>
  <c r="AQ20" i="12"/>
  <c r="AS20" i="12"/>
  <c r="BV61" i="12"/>
  <c r="AR61" i="12"/>
  <c r="AS61" i="12"/>
  <c r="AQ61" i="12"/>
  <c r="BW42" i="12"/>
  <c r="AP42" i="12"/>
  <c r="AV42" i="12" s="1"/>
  <c r="BW29" i="12"/>
  <c r="AP29" i="12"/>
  <c r="BW36" i="12"/>
  <c r="AP36" i="12"/>
  <c r="BW66" i="12"/>
  <c r="AP66" i="12"/>
  <c r="AW66" i="12" s="1"/>
  <c r="BW21" i="12"/>
  <c r="AP21" i="12"/>
  <c r="BW41" i="12"/>
  <c r="AP41" i="12"/>
  <c r="AW41" i="12" s="1"/>
  <c r="BQ68" i="12"/>
  <c r="BT68" i="12" s="1"/>
  <c r="BU68" i="12" s="1"/>
  <c r="BR68" i="12"/>
  <c r="BS68" i="12"/>
  <c r="AN24" i="12"/>
  <c r="BQ60" i="12"/>
  <c r="BT60" i="12" s="1"/>
  <c r="BU60" i="12" s="1"/>
  <c r="BR60" i="12"/>
  <c r="BQ19" i="12"/>
  <c r="BT19" i="12" s="1"/>
  <c r="BU19" i="12" s="1"/>
  <c r="AN60" i="12"/>
  <c r="AN19" i="12"/>
  <c r="BT17" i="12"/>
  <c r="BU17" i="12" s="1"/>
  <c r="AR17" i="12" s="1"/>
  <c r="BS51" i="12"/>
  <c r="AN51" i="12"/>
  <c r="BQ51" i="12"/>
  <c r="BT51" i="12" s="1"/>
  <c r="BU51" i="12" s="1"/>
  <c r="BS15" i="12"/>
  <c r="BQ15" i="12"/>
  <c r="AL15" i="12"/>
  <c r="BR15" i="12"/>
  <c r="AL16" i="12"/>
  <c r="AN15" i="12"/>
  <c r="BS16" i="12"/>
  <c r="BR16" i="12"/>
  <c r="AN16" i="12"/>
  <c r="BQ16" i="12"/>
  <c r="I45" i="1"/>
  <c r="J45" i="1" s="1"/>
  <c r="I44" i="1"/>
  <c r="J44" i="1" s="1"/>
  <c r="S12" i="1"/>
  <c r="I46" i="1"/>
  <c r="J46" i="1" s="1"/>
  <c r="S14" i="1"/>
  <c r="T12" i="1"/>
  <c r="T13" i="1"/>
  <c r="T14" i="1"/>
  <c r="S13" i="1"/>
  <c r="S15" i="1" l="1"/>
  <c r="S17" i="1" s="1"/>
  <c r="AW42" i="12"/>
  <c r="AX42" i="12" s="1"/>
  <c r="AV41" i="12"/>
  <c r="AV66" i="12"/>
  <c r="AZ34" i="12"/>
  <c r="AW31" i="12"/>
  <c r="AZ31" i="12" s="1"/>
  <c r="AX41" i="12"/>
  <c r="AZ41" i="12"/>
  <c r="AX66" i="12"/>
  <c r="AZ66" i="12"/>
  <c r="AW29" i="12"/>
  <c r="AV29" i="12"/>
  <c r="AV30" i="12"/>
  <c r="AW30" i="12"/>
  <c r="AW48" i="12"/>
  <c r="AV48" i="12"/>
  <c r="AW21" i="12"/>
  <c r="AV21" i="12"/>
  <c r="AW36" i="12"/>
  <c r="AV36" i="12"/>
  <c r="AW65" i="12"/>
  <c r="BV19" i="12"/>
  <c r="AR19" i="12"/>
  <c r="AS19" i="12"/>
  <c r="AQ19" i="12"/>
  <c r="BV68" i="12"/>
  <c r="AR68" i="12"/>
  <c r="AS68" i="12"/>
  <c r="AQ68" i="12"/>
  <c r="BV51" i="12"/>
  <c r="AR51" i="12"/>
  <c r="AS51" i="12"/>
  <c r="AQ51" i="12"/>
  <c r="BV60" i="12"/>
  <c r="AR60" i="12"/>
  <c r="AQ60" i="12"/>
  <c r="AS60" i="12"/>
  <c r="BW61" i="12"/>
  <c r="AP61" i="12"/>
  <c r="BW20" i="12"/>
  <c r="AP20" i="12"/>
  <c r="BW45" i="12"/>
  <c r="AP45" i="12"/>
  <c r="BW56" i="12"/>
  <c r="AP56" i="12"/>
  <c r="BW37" i="12"/>
  <c r="AP37" i="12"/>
  <c r="BW28" i="12"/>
  <c r="AP28" i="12"/>
  <c r="BW55" i="12"/>
  <c r="AP55" i="12"/>
  <c r="BW52" i="12"/>
  <c r="AP52" i="12"/>
  <c r="BW53" i="12"/>
  <c r="AP53" i="12"/>
  <c r="BW23" i="12"/>
  <c r="AP23" i="12"/>
  <c r="BW26" i="12"/>
  <c r="AP26" i="12"/>
  <c r="BW50" i="12"/>
  <c r="AP50" i="12"/>
  <c r="BW58" i="12"/>
  <c r="AP58" i="12"/>
  <c r="BW57" i="12"/>
  <c r="AP57" i="12"/>
  <c r="BW24" i="12"/>
  <c r="AP24" i="12"/>
  <c r="AW24" i="12" s="1"/>
  <c r="AZ24" i="12" s="1"/>
  <c r="BW22" i="12"/>
  <c r="AP22" i="12"/>
  <c r="BW46" i="12"/>
  <c r="AP46" i="12"/>
  <c r="BW35" i="12"/>
  <c r="AP35" i="12"/>
  <c r="BW33" i="12"/>
  <c r="AP33" i="12"/>
  <c r="BW54" i="12"/>
  <c r="AP54" i="12"/>
  <c r="BW62" i="12"/>
  <c r="AP62" i="12"/>
  <c r="BW63" i="12"/>
  <c r="AP63" i="12"/>
  <c r="BW43" i="12"/>
  <c r="AP43" i="12"/>
  <c r="BW67" i="12"/>
  <c r="AP67" i="12"/>
  <c r="BW59" i="12"/>
  <c r="AP59" i="12"/>
  <c r="BW69" i="12"/>
  <c r="AP69" i="12"/>
  <c r="BW47" i="12"/>
  <c r="AP47" i="12"/>
  <c r="BW39" i="12"/>
  <c r="AP39" i="12"/>
  <c r="BW25" i="12"/>
  <c r="AP25" i="12"/>
  <c r="BW18" i="12"/>
  <c r="AP18" i="12"/>
  <c r="BW44" i="12"/>
  <c r="AP44" i="12"/>
  <c r="BW32" i="12"/>
  <c r="AP32" i="12"/>
  <c r="BW38" i="12"/>
  <c r="AP38" i="12"/>
  <c r="BW40" i="12"/>
  <c r="AP40" i="12"/>
  <c r="BW64" i="12"/>
  <c r="AP64" i="12"/>
  <c r="AO17" i="12"/>
  <c r="AQ17" i="12"/>
  <c r="BV17" i="12"/>
  <c r="BW17" i="12" s="1"/>
  <c r="AS17" i="12"/>
  <c r="BT15" i="12"/>
  <c r="BU15" i="12" s="1"/>
  <c r="AO15" i="12" s="1"/>
  <c r="BT16" i="12"/>
  <c r="BU16" i="12" s="1"/>
  <c r="AO16" i="12" s="1"/>
  <c r="T15" i="1"/>
  <c r="T17" i="1" s="1"/>
  <c r="AZ42" i="12" l="1"/>
  <c r="AX24" i="12"/>
  <c r="AX31" i="12"/>
  <c r="AW40" i="12"/>
  <c r="AV40" i="12"/>
  <c r="AV32" i="12"/>
  <c r="AW32" i="12"/>
  <c r="AW39" i="12"/>
  <c r="AV39" i="12"/>
  <c r="AV69" i="12"/>
  <c r="AW69" i="12"/>
  <c r="AV67" i="12"/>
  <c r="AW67" i="12"/>
  <c r="AW63" i="12"/>
  <c r="AV63" i="12"/>
  <c r="AV54" i="12"/>
  <c r="AW54" i="12"/>
  <c r="AW35" i="12"/>
  <c r="AV35" i="12"/>
  <c r="AV22" i="12"/>
  <c r="AW22" i="12"/>
  <c r="AV57" i="12"/>
  <c r="AW57" i="12"/>
  <c r="AV50" i="12"/>
  <c r="AW50" i="12"/>
  <c r="AW23" i="12"/>
  <c r="AV23" i="12"/>
  <c r="AW52" i="12"/>
  <c r="AV52" i="12"/>
  <c r="AW28" i="12"/>
  <c r="AV28" i="12"/>
  <c r="AV56" i="12"/>
  <c r="AW56" i="12"/>
  <c r="AW20" i="12"/>
  <c r="AV20" i="12"/>
  <c r="AX65" i="12"/>
  <c r="AZ65" i="12"/>
  <c r="AZ21" i="12"/>
  <c r="AX21" i="12"/>
  <c r="AZ48" i="12"/>
  <c r="AX48" i="12"/>
  <c r="AZ29" i="12"/>
  <c r="AX29" i="12"/>
  <c r="AV64" i="12"/>
  <c r="AW64" i="12"/>
  <c r="AW38" i="12"/>
  <c r="AV38" i="12"/>
  <c r="AV44" i="12"/>
  <c r="AW44" i="12"/>
  <c r="AW25" i="12"/>
  <c r="AV25" i="12"/>
  <c r="AV47" i="12"/>
  <c r="AW47" i="12"/>
  <c r="AW59" i="12"/>
  <c r="AV59" i="12"/>
  <c r="AW43" i="12"/>
  <c r="AV43" i="12"/>
  <c r="AW62" i="12"/>
  <c r="AV62" i="12"/>
  <c r="AW33" i="12"/>
  <c r="AV33" i="12"/>
  <c r="AW46" i="12"/>
  <c r="AV46" i="12"/>
  <c r="AW58" i="12"/>
  <c r="AV58" i="12"/>
  <c r="AV26" i="12"/>
  <c r="AW26" i="12"/>
  <c r="AV53" i="12"/>
  <c r="AW53" i="12"/>
  <c r="AV55" i="12"/>
  <c r="AW55" i="12"/>
  <c r="AV37" i="12"/>
  <c r="AW37" i="12"/>
  <c r="AV45" i="12"/>
  <c r="AW45" i="12"/>
  <c r="AW61" i="12"/>
  <c r="AV61" i="12"/>
  <c r="AZ36" i="12"/>
  <c r="AX36" i="12"/>
  <c r="AV24" i="12"/>
  <c r="AZ30" i="12"/>
  <c r="AX30" i="12"/>
  <c r="AW18" i="12"/>
  <c r="AV18" i="12"/>
  <c r="BW60" i="12"/>
  <c r="AP60" i="12"/>
  <c r="BW51" i="12"/>
  <c r="AP51" i="12"/>
  <c r="BW68" i="12"/>
  <c r="AP68" i="12"/>
  <c r="BW19" i="12"/>
  <c r="AP19" i="12"/>
  <c r="AP17" i="12"/>
  <c r="AW17" i="12" s="1"/>
  <c r="AX17" i="12" s="1"/>
  <c r="AQ15" i="12"/>
  <c r="AS15" i="12"/>
  <c r="AR15" i="12"/>
  <c r="BV15" i="12"/>
  <c r="AP15" i="12" s="1"/>
  <c r="I47" i="1"/>
  <c r="AS16" i="12"/>
  <c r="BV16" i="12"/>
  <c r="AR16" i="12"/>
  <c r="AQ16" i="12"/>
  <c r="I50" i="1"/>
  <c r="J50" i="1" s="1"/>
  <c r="I48" i="1"/>
  <c r="I49" i="1"/>
  <c r="J49" i="1" s="1"/>
  <c r="I51" i="1"/>
  <c r="J51" i="1" s="1"/>
  <c r="AW15" i="12" l="1"/>
  <c r="AZ15" i="12" s="1"/>
  <c r="I54" i="1"/>
  <c r="J47" i="1"/>
  <c r="P24" i="1"/>
  <c r="S24" i="1" s="1"/>
  <c r="J48" i="1"/>
  <c r="S18" i="1"/>
  <c r="S19" i="1" s="1"/>
  <c r="AZ55" i="12"/>
  <c r="AX55" i="12"/>
  <c r="AZ57" i="12"/>
  <c r="AX57" i="12"/>
  <c r="AV68" i="12"/>
  <c r="AW68" i="12"/>
  <c r="AV60" i="12"/>
  <c r="AW60" i="12"/>
  <c r="AX46" i="12"/>
  <c r="AZ46" i="12"/>
  <c r="AZ62" i="12"/>
  <c r="AX62" i="12"/>
  <c r="AZ59" i="12"/>
  <c r="AX59" i="12"/>
  <c r="AZ25" i="12"/>
  <c r="AX25" i="12"/>
  <c r="AZ38" i="12"/>
  <c r="AX38" i="12"/>
  <c r="AX20" i="12"/>
  <c r="AZ20" i="12"/>
  <c r="AX28" i="12"/>
  <c r="AZ28" i="12"/>
  <c r="AZ23" i="12"/>
  <c r="AX23" i="12"/>
  <c r="AX35" i="12"/>
  <c r="AZ35" i="12"/>
  <c r="AZ63" i="12"/>
  <c r="AX63" i="12"/>
  <c r="AX26" i="12"/>
  <c r="AZ26" i="12"/>
  <c r="AZ32" i="12"/>
  <c r="AX32" i="12"/>
  <c r="AZ37" i="12"/>
  <c r="AX37" i="12"/>
  <c r="AX53" i="12"/>
  <c r="AZ53" i="12"/>
  <c r="AX47" i="12"/>
  <c r="AZ47" i="12"/>
  <c r="AX44" i="12"/>
  <c r="AZ44" i="12"/>
  <c r="AZ64" i="12"/>
  <c r="AX64" i="12"/>
  <c r="AZ56" i="12"/>
  <c r="AX56" i="12"/>
  <c r="AZ50" i="12"/>
  <c r="AX50" i="12"/>
  <c r="AX22" i="12"/>
  <c r="AZ22" i="12"/>
  <c r="AZ54" i="12"/>
  <c r="AX54" i="12"/>
  <c r="AZ67" i="12"/>
  <c r="AX67" i="12"/>
  <c r="AZ45" i="12"/>
  <c r="AX45" i="12"/>
  <c r="AZ69" i="12"/>
  <c r="AX69" i="12"/>
  <c r="AW19" i="12"/>
  <c r="AV19" i="12"/>
  <c r="AW51" i="12"/>
  <c r="AV51" i="12"/>
  <c r="AX61" i="12"/>
  <c r="AZ61" i="12"/>
  <c r="AZ58" i="12"/>
  <c r="AX58" i="12"/>
  <c r="AZ33" i="12"/>
  <c r="AX33" i="12"/>
  <c r="AX43" i="12"/>
  <c r="AZ43" i="12"/>
  <c r="AX52" i="12"/>
  <c r="AZ52" i="12"/>
  <c r="AX39" i="12"/>
  <c r="AZ39" i="12"/>
  <c r="AZ40" i="12"/>
  <c r="AX40" i="12"/>
  <c r="AZ18" i="12"/>
  <c r="AX18" i="12"/>
  <c r="AV17" i="12"/>
  <c r="AZ17" i="12"/>
  <c r="BW15" i="12"/>
  <c r="AV15" i="12"/>
  <c r="AP16" i="12"/>
  <c r="AV16" i="12" s="1"/>
  <c r="BW16" i="12"/>
  <c r="AX15" i="12" l="1"/>
  <c r="P21" i="1"/>
  <c r="S21" i="1" s="1"/>
  <c r="T18" i="1"/>
  <c r="T19" i="1" s="1"/>
  <c r="I57" i="1"/>
  <c r="J54" i="1"/>
  <c r="T24" i="1"/>
  <c r="AX60" i="12"/>
  <c r="AZ60" i="12"/>
  <c r="AZ51" i="12"/>
  <c r="AX51" i="12"/>
  <c r="AZ19" i="12"/>
  <c r="AX19" i="12"/>
  <c r="AX68" i="12"/>
  <c r="AZ68" i="12"/>
  <c r="AW16" i="12"/>
  <c r="AZ16" i="12" s="1"/>
  <c r="T21" i="1" l="1"/>
  <c r="P22" i="1"/>
  <c r="T22" i="1" s="1"/>
  <c r="P23" i="1"/>
  <c r="T23" i="1" s="1"/>
  <c r="AX16" i="12"/>
  <c r="AX70" i="12" s="1"/>
  <c r="AX13" i="12" s="1"/>
  <c r="AW70" i="12"/>
  <c r="AZ70" i="12" s="1"/>
  <c r="AZ13" i="12" s="1"/>
  <c r="T25" i="1" l="1"/>
  <c r="T28" i="1" s="1"/>
  <c r="S22" i="1"/>
  <c r="P25" i="1"/>
  <c r="S23" i="1"/>
  <c r="AW13" i="12"/>
  <c r="S25" i="1" l="1"/>
  <c r="S28" i="1" s="1"/>
</calcChain>
</file>

<file path=xl/comments1.xml><?xml version="1.0" encoding="utf-8"?>
<comments xmlns="http://schemas.openxmlformats.org/spreadsheetml/2006/main">
  <authors>
    <author>Bé Keizer</author>
    <author>Keizer</author>
  </authors>
  <commentList>
    <comment ref="G15" authorId="0" shapeId="0">
      <text>
        <r>
          <rPr>
            <sz val="8"/>
            <color indexed="81"/>
            <rFont val="Tahoma"/>
            <family val="2"/>
          </rPr>
          <t xml:space="preserve">
Alleen bij de functie ID1 geldt dat er sprake is van een aanloopschaal van twee regels. Deze aanloopschalen zijn in dit instrument buiten beschouwing gelaten, gestart wordt met regel 1. 
Zie de tabellen rij 49.
</t>
        </r>
      </text>
    </comment>
    <comment ref="F29" authorId="0" shapeId="0">
      <text>
        <r>
          <rPr>
            <sz val="9"/>
            <color indexed="81"/>
            <rFont val="Tahoma"/>
            <family val="2"/>
          </rPr>
          <t xml:space="preserve">
Geldt voor de leraren schaal LA op de basisschool resp. LB op de SBO / (V)SO die op 1 jan. 2018 op regel 15 van hun schaal zijn dan wel per 1 jan. 2018 daar komen.</t>
        </r>
      </text>
    </comment>
    <comment ref="F33" authorId="1" shapeId="0">
      <text>
        <r>
          <rPr>
            <sz val="9"/>
            <color indexed="81"/>
            <rFont val="Tahoma"/>
            <family val="2"/>
          </rPr>
          <t>Deze eindejaarsuitkering wordt toegekend aan de schalen 1  t/m 8. Zie tabellen.</t>
        </r>
      </text>
    </comment>
    <comment ref="F34" authorId="0" shapeId="0">
      <text>
        <r>
          <rPr>
            <sz val="9"/>
            <color indexed="81"/>
            <rFont val="Tahoma"/>
            <family val="2"/>
          </rPr>
          <t xml:space="preserve">
Geldt voor de directeuren verbonden aan een school PO die benoemd zijn in de schalen DA t/m DCuitloop (incl. meerhoofdig).</t>
        </r>
      </text>
    </comment>
    <comment ref="G37" authorId="0" shapeId="0">
      <text>
        <r>
          <rPr>
            <sz val="9"/>
            <color indexed="81"/>
            <rFont val="Tahoma"/>
            <family val="2"/>
          </rPr>
          <t xml:space="preserve">
De uitkering bedraagt bij een normbetrekking 200 euro die in de maanden januari t/m oktober wordt opgebouwd en uitgekeerd in oktober. </t>
        </r>
      </text>
    </comment>
    <comment ref="E38" authorId="1" shapeId="0">
      <text>
        <r>
          <rPr>
            <sz val="9"/>
            <color indexed="81"/>
            <rFont val="Tahoma"/>
            <family val="2"/>
          </rPr>
          <t xml:space="preserve">
Het jaarinkomen ABP wordt in januari van elk jaar bepaald.</t>
        </r>
      </text>
    </comment>
    <comment ref="G39" authorId="1" shapeId="0">
      <text>
        <r>
          <rPr>
            <sz val="9"/>
            <color indexed="81"/>
            <rFont val="Tahoma"/>
            <family val="2"/>
          </rPr>
          <t xml:space="preserve">
De 0,8% wordt berekend over het bruto-loon en de uitlooptoeslag, en is niet pensioengevend. Daarom worden er ook geen pensioenpremies over berekend, wel de andere premies.
</t>
        </r>
      </text>
    </comment>
    <comment ref="G50" authorId="0" shapeId="0">
      <text>
        <r>
          <rPr>
            <sz val="9"/>
            <color indexed="81"/>
            <rFont val="Tahoma"/>
            <family val="2"/>
          </rPr>
          <t xml:space="preserve">
Zie toelichting:
1 = premie verplichte verzekering 
2 = premie vrijwillige verzekering 
3 = eigenrisicodrager
</t>
        </r>
      </text>
    </comment>
    <comment ref="E53" authorId="1" shapeId="0">
      <text>
        <r>
          <rPr>
            <sz val="9"/>
            <color indexed="81"/>
            <rFont val="Tahoma"/>
            <family val="2"/>
          </rPr>
          <t xml:space="preserve">
Denk hierbij aan reis- en verblijfkosten, een eventuele parkeervergoeding, EHBO- of telefoontoelage etc. en ook het rechtspositioneel verlof.
Eigenrisicodragers VF: ziektekosten die niet gedeclareerd kunnen worden.</t>
        </r>
      </text>
    </comment>
  </commentList>
</comments>
</file>

<file path=xl/comments2.xml><?xml version="1.0" encoding="utf-8"?>
<comments xmlns="http://schemas.openxmlformats.org/spreadsheetml/2006/main">
  <authors>
    <author>Bé Keizer</author>
    <author>Gebruiker</author>
    <author>Keizer</author>
  </authors>
  <commentList>
    <comment ref="D13" authorId="0" shapeId="0">
      <text>
        <r>
          <rPr>
            <sz val="8"/>
            <color indexed="81"/>
            <rFont val="Tahoma"/>
            <family val="2"/>
          </rPr>
          <t xml:space="preserve">
Alleen bij de functie ID1 geldt dat er sprake is van een aanloopschaal van twee regels. Die eerste twee regels zijn daarom weggelaten en de gehele schaal omvat daarom in dit instrument 7 regels i.p.v. 9. Zie de tabellen rij 48.</t>
        </r>
      </text>
    </comment>
    <comment ref="E28" authorId="1" shapeId="0">
      <text>
        <r>
          <rPr>
            <sz val="8"/>
            <color indexed="81"/>
            <rFont val="Tahoma"/>
            <family val="2"/>
          </rPr>
          <t xml:space="preserve">
</t>
        </r>
        <r>
          <rPr>
            <sz val="10"/>
            <color indexed="81"/>
            <rFont val="Tahoma"/>
            <family val="2"/>
          </rPr>
          <t>delen van een maand als hele maand rekenen</t>
        </r>
      </text>
    </comment>
    <comment ref="J43" authorId="0" shapeId="0">
      <text>
        <r>
          <rPr>
            <sz val="9"/>
            <color indexed="81"/>
            <rFont val="Tahoma"/>
            <family val="2"/>
          </rPr>
          <t xml:space="preserve">
Betreft niveau 2012 en geldt voor 26 weken.De korting is niet meer dan het bedrag dat u in 2012 minder krijgt aan belastbaar loon in vergelijking met 2011. De korting bedraagt € 4,18 per opgenomen uur (Belastingen, inkomstenbelasting 2012).
</t>
        </r>
      </text>
    </comment>
    <comment ref="H45" authorId="2" shapeId="0">
      <text>
        <r>
          <rPr>
            <sz val="8"/>
            <color indexed="81"/>
            <rFont val="Tahoma"/>
            <family val="2"/>
          </rPr>
          <t xml:space="preserve">
Betreft niveau 2012
</t>
        </r>
      </text>
    </comment>
    <comment ref="H54" authorId="2" shapeId="0">
      <text>
        <r>
          <rPr>
            <sz val="8"/>
            <color indexed="81"/>
            <rFont val="Tahoma"/>
            <family val="2"/>
          </rPr>
          <t>Vaststellen op basis van totaal aantal fte gedeeld door het totaal aantal personeelsleden bij het betreffende bestuur. 
De 73,9% is een landelijk cijfer van 2010.</t>
        </r>
      </text>
    </comment>
  </commentList>
</comments>
</file>

<file path=xl/comments3.xml><?xml version="1.0" encoding="utf-8"?>
<comments xmlns="http://schemas.openxmlformats.org/spreadsheetml/2006/main">
  <authors>
    <author>Keizer</author>
  </authors>
  <commentList>
    <comment ref="D10" authorId="0" shapeId="0">
      <text>
        <r>
          <rPr>
            <sz val="9"/>
            <color indexed="81"/>
            <rFont val="Tahoma"/>
            <family val="2"/>
          </rPr>
          <t xml:space="preserve">
Opgave i.v.m. toe(s)lagen.
OOP S9 houdt in inschaling in schaal 9 of hoger voor OOP.</t>
        </r>
      </text>
    </comment>
  </commentList>
</comments>
</file>

<file path=xl/comments4.xml><?xml version="1.0" encoding="utf-8"?>
<comments xmlns="http://schemas.openxmlformats.org/spreadsheetml/2006/main">
  <authors>
    <author>Keizer</author>
  </authors>
  <commentList>
    <comment ref="F40" authorId="0" shapeId="0">
      <text>
        <r>
          <rPr>
            <sz val="8"/>
            <color indexed="81"/>
            <rFont val="Tahoma"/>
            <family val="2"/>
          </rPr>
          <t>Omvang personeelsbestand bestuur in aantal fte.</t>
        </r>
      </text>
    </comment>
    <comment ref="F41" authorId="0" shapeId="0">
      <text>
        <r>
          <rPr>
            <sz val="8"/>
            <color indexed="81"/>
            <rFont val="Tahoma"/>
            <family val="2"/>
          </rPr>
          <t xml:space="preserve">
Vaststellen op basis van totaal aantal fte gedeeld door het totaal aantal personeelsleden bij het betreffende bestuur. 
De 73,9% is een landelijk gegeven (2010).</t>
        </r>
      </text>
    </comment>
    <comment ref="F44" authorId="0" shapeId="0">
      <text>
        <r>
          <rPr>
            <sz val="8"/>
            <color indexed="81"/>
            <rFont val="Tahoma"/>
            <family val="2"/>
          </rPr>
          <t xml:space="preserve">
Aantal herintreders in fte gedeeld door aantal fte.
Landelijke raming ontbreekt. Raming kan per bestuur sterk variëren. Daarom vaststellen op basis van eigen gegevens.</t>
        </r>
      </text>
    </comment>
    <comment ref="F46" authorId="0" shapeId="0">
      <text>
        <r>
          <rPr>
            <sz val="8"/>
            <color indexed="81"/>
            <rFont val="Tahoma"/>
            <family val="2"/>
          </rPr>
          <t>Is mede gebaseerd op de aanname dat even vaak sprake is van 1 als 2 periodieken, gemiddeld dus 1,5 periodiek.</t>
        </r>
      </text>
    </comment>
  </commentList>
</comments>
</file>

<file path=xl/comments5.xml><?xml version="1.0" encoding="utf-8"?>
<comments xmlns="http://schemas.openxmlformats.org/spreadsheetml/2006/main">
  <authors>
    <author>Bé Keizer</author>
    <author>Keizer</author>
  </authors>
  <commentList>
    <comment ref="N9" authorId="0" shapeId="0">
      <text>
        <r>
          <rPr>
            <sz val="11"/>
            <color indexed="81"/>
            <rFont val="Tahoma"/>
            <family val="2"/>
          </rPr>
          <t xml:space="preserve">
Zie toelichting:
1 = premie verplichte verzekering 
2 = premie vrijwillige verzekering 
3 = eigenrisicodrager 
</t>
        </r>
      </text>
    </comment>
    <comment ref="AU9" authorId="1" shapeId="0">
      <text>
        <r>
          <rPr>
            <sz val="9"/>
            <color indexed="81"/>
            <rFont val="Tahoma"/>
            <family val="2"/>
          </rPr>
          <t xml:space="preserve">
Denk hierbij aan reis- en verblijfkosten, een eventuele parkeervergoeding, EHBO- of telefoontoelage, eigen risico VF: vervangingskosten etc. en vanaf 1 jan. 2015 ook het rechtspositioneel verlof.</t>
        </r>
      </text>
    </comment>
    <comment ref="BK15"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16"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17"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18"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19"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20"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21"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22"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23"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24"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25"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26"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27"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28"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29"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30"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31"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32"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33"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34"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35"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36"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37"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38"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39"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40"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41"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42"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43"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44"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45"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46"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47"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48"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49"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50"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51"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52"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53"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54"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55"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56"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57"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58"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59"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60"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61"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62"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63"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64"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65"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66"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67"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68"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K69" authorId="0" shapeId="0">
      <text>
        <r>
          <rPr>
            <sz val="9"/>
            <color indexed="81"/>
            <rFont val="Tahoma"/>
            <family val="2"/>
          </rPr>
          <t xml:space="preserve">
Geldt voor de leraren schaal LA op de basisschool resp. LB op de SBO / (V)SO die op 1 jan. 2016 op regel 15 van hun schaal zijn dan wel per 1 aug. 2016 daar komen.</t>
        </r>
      </text>
    </comment>
  </commentList>
</comments>
</file>

<file path=xl/comments6.xml><?xml version="1.0" encoding="utf-8"?>
<comments xmlns="http://schemas.openxmlformats.org/spreadsheetml/2006/main">
  <authors>
    <author>B. Keizer</author>
    <author>Keizer</author>
    <author>Bé Keizer</author>
  </authors>
  <commentList>
    <comment ref="B4" authorId="0" shapeId="0">
      <text>
        <r>
          <rPr>
            <sz val="9"/>
            <color indexed="81"/>
            <rFont val="Tahoma"/>
            <family val="2"/>
          </rPr>
          <t xml:space="preserve">
Materieel betekent de nieuwe cao po dat deze salarisschalen zijn ingegaan per 1 januari 2016.</t>
        </r>
      </text>
    </comment>
    <comment ref="B17" authorId="0" shapeId="0">
      <text>
        <r>
          <rPr>
            <sz val="9"/>
            <color indexed="81"/>
            <rFont val="Tahoma"/>
            <family val="2"/>
          </rPr>
          <t xml:space="preserve">
Conform minimumloon per 1 juli 2017.</t>
        </r>
      </text>
    </comment>
    <comment ref="B32" authorId="0" shapeId="0">
      <text>
        <r>
          <rPr>
            <sz val="9"/>
            <color indexed="81"/>
            <rFont val="Tahoma"/>
            <family val="2"/>
          </rPr>
          <t xml:space="preserve">
Conform minimumloon per 1 juli 2017.</t>
        </r>
      </text>
    </comment>
    <comment ref="A56" authorId="1" shapeId="0">
      <text>
        <r>
          <rPr>
            <sz val="9"/>
            <color indexed="81"/>
            <rFont val="Tahoma"/>
            <family val="2"/>
          </rPr>
          <t xml:space="preserve">
De premie voor KinderOpvang is hier ondergebracht.</t>
        </r>
      </text>
    </comment>
    <comment ref="A57" authorId="1" shapeId="0">
      <text>
        <r>
          <rPr>
            <sz val="9"/>
            <color indexed="81"/>
            <rFont val="Tahoma"/>
            <family val="2"/>
          </rPr>
          <t xml:space="preserve">
De gedifferentieerde premie WGA is opgegaan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WGA-vast, -flex, ZW-flex betreft die voor kleine werkgevers die sectorbreed gelden. Voor grote werkgevers wordt de premie individueel bepaald en voor middelgrote werkgevers wordt de premie bepaald op een gewogen gemiddelde van de sectorale en de individuele premie.</t>
        </r>
      </text>
    </comment>
    <comment ref="C62" authorId="0" shapeId="0">
      <text>
        <r>
          <rPr>
            <sz val="9"/>
            <color indexed="81"/>
            <rFont val="Tahoma"/>
            <family val="2"/>
          </rPr>
          <t xml:space="preserve">
Bij geen volledige ERD kan men hier het van toepassing zijnde percentage invullen.</t>
        </r>
      </text>
    </comment>
    <comment ref="B68" authorId="0" shapeId="0">
      <text>
        <r>
          <rPr>
            <sz val="9"/>
            <color indexed="81"/>
            <rFont val="Tahoma"/>
            <family val="2"/>
          </rPr>
          <t xml:space="preserve">
Vanaf 1 januari 2017.</t>
        </r>
      </text>
    </comment>
    <comment ref="A79" authorId="2" shapeId="0">
      <text>
        <r>
          <rPr>
            <sz val="9"/>
            <color indexed="81"/>
            <rFont val="Tahoma"/>
            <family val="2"/>
          </rPr>
          <t xml:space="preserve">
Geldt voor de leraren schaal LA basisschool resp. LB SBO / (V)SO die op 1-1-2018 op regel 15 van hun schaal zitten.</t>
        </r>
      </text>
    </comment>
    <comment ref="A101" authorId="2" shapeId="0">
      <text>
        <r>
          <rPr>
            <sz val="9"/>
            <color indexed="81"/>
            <rFont val="Tahoma"/>
            <family val="2"/>
          </rPr>
          <t xml:space="preserve">
Geldt voor de directeuren verbonden aan een school PO die benoemd zijn in de schalen DA t/m DCuitloop (incl. meerhoofdig).</t>
        </r>
      </text>
    </comment>
  </commentList>
</comments>
</file>

<file path=xl/sharedStrings.xml><?xml version="1.0" encoding="utf-8"?>
<sst xmlns="http://schemas.openxmlformats.org/spreadsheetml/2006/main" count="691" uniqueCount="399">
  <si>
    <t>LA</t>
  </si>
  <si>
    <t>salaristabellen</t>
  </si>
  <si>
    <t>schaal / regel</t>
  </si>
  <si>
    <t>DA</t>
  </si>
  <si>
    <t>DB</t>
  </si>
  <si>
    <t>DBuit</t>
  </si>
  <si>
    <t>DC</t>
  </si>
  <si>
    <t>DCuit</t>
  </si>
  <si>
    <t>DD</t>
  </si>
  <si>
    <t>DE</t>
  </si>
  <si>
    <t>AA</t>
  </si>
  <si>
    <t>AB</t>
  </si>
  <si>
    <t>AC</t>
  </si>
  <si>
    <t>AD</t>
  </si>
  <si>
    <t>AE</t>
  </si>
  <si>
    <t>LB</t>
  </si>
  <si>
    <t>LC</t>
  </si>
  <si>
    <t>LD</t>
  </si>
  <si>
    <t>LE</t>
  </si>
  <si>
    <t>LIOa</t>
  </si>
  <si>
    <t>LIOb</t>
  </si>
  <si>
    <t>schaal</t>
  </si>
  <si>
    <t>regel</t>
  </si>
  <si>
    <t>Salarisgegevens</t>
  </si>
  <si>
    <t>norm maandsalaris</t>
  </si>
  <si>
    <t>Werktijdfactor</t>
  </si>
  <si>
    <t>wtf x maandsalaris</t>
  </si>
  <si>
    <t>regels</t>
  </si>
  <si>
    <t>oud</t>
  </si>
  <si>
    <t>extra per</t>
  </si>
  <si>
    <t>toename</t>
  </si>
  <si>
    <t>gemiddeld</t>
  </si>
  <si>
    <t>P. Werknemer</t>
  </si>
  <si>
    <t>Toelichting</t>
  </si>
  <si>
    <t>Werkblad Tabellen</t>
  </si>
  <si>
    <t>De werkbladen zijn beveiligd met het wachtwoord:</t>
  </si>
  <si>
    <t>Toekenning extra uitkeringen</t>
  </si>
  <si>
    <t>vakantieuitkering</t>
  </si>
  <si>
    <t>Jaarbasis</t>
  </si>
  <si>
    <t>OP/NP</t>
  </si>
  <si>
    <t>werkgever</t>
  </si>
  <si>
    <t>werknemer</t>
  </si>
  <si>
    <t>FPU</t>
  </si>
  <si>
    <t>Tabel premiepercentages</t>
  </si>
  <si>
    <t>VUT/FPU basis</t>
  </si>
  <si>
    <t>max. bedrag</t>
  </si>
  <si>
    <t>Totaal pensioenpremie</t>
  </si>
  <si>
    <t>uitlooptoeslag</t>
  </si>
  <si>
    <t>maand</t>
  </si>
  <si>
    <t>a</t>
  </si>
  <si>
    <t>b</t>
  </si>
  <si>
    <t>c</t>
  </si>
  <si>
    <t>d</t>
  </si>
  <si>
    <t>e</t>
  </si>
  <si>
    <t>f</t>
  </si>
  <si>
    <t>g</t>
  </si>
  <si>
    <t>h</t>
  </si>
  <si>
    <t>i</t>
  </si>
  <si>
    <t>UFO</t>
  </si>
  <si>
    <t>premie Vf</t>
  </si>
  <si>
    <t>premie Pf</t>
  </si>
  <si>
    <t>Jaarinkomen ABP</t>
  </si>
  <si>
    <t>per maand</t>
  </si>
  <si>
    <t>per jaar</t>
  </si>
  <si>
    <t xml:space="preserve">In dit werkblad worden de werkgeverslasten berekend van een werknemer in het PO. </t>
  </si>
  <si>
    <t>Invoering van de gegevens per werknemer geeft de berekening van de werkgeverslasten.</t>
  </si>
  <si>
    <t>Vervolgens worden de werkgeverslasten berekend.</t>
  </si>
  <si>
    <t>j</t>
  </si>
  <si>
    <t>Uitlooptoeslag</t>
  </si>
  <si>
    <t>Bindingstoelage</t>
  </si>
  <si>
    <t>leraar</t>
  </si>
  <si>
    <t>directie</t>
  </si>
  <si>
    <t>OOP S9</t>
  </si>
  <si>
    <t>Werknemer</t>
  </si>
  <si>
    <t>Overige loonkosten</t>
  </si>
  <si>
    <t>Participatiefonds</t>
  </si>
  <si>
    <t>Structurele eindejaarsuitkering</t>
  </si>
  <si>
    <t>eindejaarsuitkering</t>
  </si>
  <si>
    <t>Minimum vakantietoelage, fulltimer</t>
  </si>
  <si>
    <t>meerh bas DA</t>
  </si>
  <si>
    <t>meerh bas DB</t>
  </si>
  <si>
    <t>meerh bas DBuit</t>
  </si>
  <si>
    <t>meerh sbo DB10</t>
  </si>
  <si>
    <t>meerh sbo DB11</t>
  </si>
  <si>
    <t>meerh sbo DC 13</t>
  </si>
  <si>
    <t>meerh sbo DCuit15</t>
  </si>
  <si>
    <t>meerh bas DA11</t>
  </si>
  <si>
    <t>ID1</t>
  </si>
  <si>
    <t>ID2</t>
  </si>
  <si>
    <t>ID3</t>
  </si>
  <si>
    <t>ZVW</t>
  </si>
  <si>
    <t>k</t>
  </si>
  <si>
    <t>Loon voor de loonbelasting</t>
  </si>
  <si>
    <t>franchise jr</t>
  </si>
  <si>
    <t>franchise mnd</t>
  </si>
  <si>
    <t>NB: Uitsluitend gebruik gemaakt van onderstaande tabellen</t>
  </si>
  <si>
    <t>Schijf</t>
  </si>
  <si>
    <t>Belasting</t>
  </si>
  <si>
    <t>Heffingskortingen</t>
  </si>
  <si>
    <t>algemene heffingskorting</t>
  </si>
  <si>
    <t>arbeidskorting</t>
  </si>
  <si>
    <t>geboren</t>
  </si>
  <si>
    <t>percentage</t>
  </si>
  <si>
    <t>maximaal</t>
  </si>
  <si>
    <t>schijf 1</t>
  </si>
  <si>
    <t>schijf 2</t>
  </si>
  <si>
    <t>schijf 3</t>
  </si>
  <si>
    <t>schijf 4</t>
  </si>
  <si>
    <t>Compensatie ziektekosten</t>
  </si>
  <si>
    <t>eindejaarsuitkering OOP</t>
  </si>
  <si>
    <t>Eindejaarsuitkering OOP</t>
  </si>
  <si>
    <t>compensatie ziektekosten</t>
  </si>
  <si>
    <t xml:space="preserve">Ook de berekening van het bruto-netto traject voor de werknemer beoogt slechts een indicatie op hoofdlijnen </t>
  </si>
  <si>
    <t xml:space="preserve">te geven. De 'echte' berekening plus de berekening loonbelasting is een complexe materie die hier vereenvoudigd </t>
  </si>
  <si>
    <t>Overige toelagen</t>
  </si>
  <si>
    <t>Deze zijn nader aangegeven en voor zover nodig nader toegelicht.</t>
  </si>
  <si>
    <t>ja</t>
  </si>
  <si>
    <t>Naam werknemer</t>
  </si>
  <si>
    <t>Werknemer met kind</t>
  </si>
  <si>
    <t>nee</t>
  </si>
  <si>
    <t>Opgave omvang betaald ouderschapsverlof in lesuren:</t>
  </si>
  <si>
    <t>Omvang betaald ouderschapsverlof</t>
  </si>
  <si>
    <t>klokuren</t>
  </si>
  <si>
    <t>lesuren</t>
  </si>
  <si>
    <t>Beschikbaar</t>
  </si>
  <si>
    <t>Opname</t>
  </si>
  <si>
    <t>Percentage</t>
  </si>
  <si>
    <t>Opname in aantal maanden</t>
  </si>
  <si>
    <t>Salariskorting</t>
  </si>
  <si>
    <t>Regulier salaris</t>
  </si>
  <si>
    <t>Uitbetaald salaris</t>
  </si>
  <si>
    <t>Totaal betaald verlof in verlofperiode</t>
  </si>
  <si>
    <t>Structureel</t>
  </si>
  <si>
    <t>Aantal personeelsleden</t>
  </si>
  <si>
    <t>zelf in te vullen</t>
  </si>
  <si>
    <t>Gemiddelde betrekkingsomvang</t>
  </si>
  <si>
    <t>tot</t>
  </si>
  <si>
    <t>Personeelsleden van</t>
  </si>
  <si>
    <t>landelijk gemiddelde</t>
  </si>
  <si>
    <t>Gemiddeld aantal kinderen</t>
  </si>
  <si>
    <t>Maximaal aantal ouderschapsverloven</t>
  </si>
  <si>
    <t>Effectuering ouderschapverlof</t>
  </si>
  <si>
    <t>raming</t>
  </si>
  <si>
    <t>Gemiddeld aantal per jaar</t>
  </si>
  <si>
    <t>Gemiddelde kosten per jaar per verlof</t>
  </si>
  <si>
    <t>Kosten totale verlof per jaar</t>
  </si>
  <si>
    <t>Functiedifferentiatie of pro- of demotie</t>
  </si>
  <si>
    <t xml:space="preserve">Salarisgegevens per 1 augustus, na toekenning reguliere periodieke verhoging </t>
  </si>
  <si>
    <t>maximumregel:</t>
  </si>
  <si>
    <t>Leeftijd per 1 augustus</t>
  </si>
  <si>
    <t>Met pensioen/uittreden op leeftijd</t>
  </si>
  <si>
    <t>Inschaling in nieuwe functie</t>
  </si>
  <si>
    <t>Nieuwe omvang wtf</t>
  </si>
  <si>
    <t>Verhoging eerste jaar per maand</t>
  </si>
  <si>
    <t>Opslagpercentage werkgeverslasten</t>
  </si>
  <si>
    <t>Werkgeverslasten eerste jaar</t>
  </si>
  <si>
    <t>Aantal jaren meer/minder kosten</t>
  </si>
  <si>
    <t>Gemiddelde kosten</t>
  </si>
  <si>
    <t>nieuwe schaal</t>
  </si>
  <si>
    <t>voormalige schaal</t>
  </si>
  <si>
    <t>Alle categorien Personeel</t>
  </si>
  <si>
    <t>Toekenning extra periodiek(en)</t>
  </si>
  <si>
    <t>herintreder</t>
  </si>
  <si>
    <t>eerste aanstelling</t>
  </si>
  <si>
    <t>beloningsbeleid</t>
  </si>
  <si>
    <t>aantal periodieken</t>
  </si>
  <si>
    <t>Kosten gedurende eerste jaar per maand</t>
  </si>
  <si>
    <t>Aantal jaren meerkosten</t>
  </si>
  <si>
    <t>Kosten totaal</t>
  </si>
  <si>
    <t>Kosten herintreders</t>
  </si>
  <si>
    <t>OPO Ergens</t>
  </si>
  <si>
    <t>Aantal fte</t>
  </si>
  <si>
    <t>Aantal herintreders met extra periodieken</t>
  </si>
  <si>
    <t>Gemiddelde kosten per jaar per herintreder</t>
  </si>
  <si>
    <t>Totale kosten per jaar</t>
  </si>
  <si>
    <t>OP</t>
  </si>
  <si>
    <t>Bestuur</t>
  </si>
  <si>
    <t>Voor het maken van meerjarenformatiebeleid in relatie tot een meerjarenbegroting is deze info van belang.</t>
  </si>
  <si>
    <t>0,8% levensloop</t>
  </si>
  <si>
    <t>kosten levensloop</t>
  </si>
  <si>
    <t>Tabel 1 Schijventarief inkomstenbelasting/premie volksverzekeringen</t>
  </si>
  <si>
    <t>Inkomsten</t>
  </si>
  <si>
    <t>totaal</t>
  </si>
  <si>
    <t>WAO/WIA</t>
  </si>
  <si>
    <t>per gespaard kalenderjaar.</t>
  </si>
  <si>
    <t>Deze toeslag wordt toegekend op basis van artikel 6.14 van de CAO PO.</t>
  </si>
  <si>
    <t>Deze toeslag wordt toegekend op basis van artikel 6.13 van de CAO PO.</t>
  </si>
  <si>
    <t>Verlofwerktijdfactor</t>
  </si>
  <si>
    <t>Doorbetaling 55% salaris werkgever</t>
  </si>
  <si>
    <t>Dag van de leraar (OP, OOP, Dir)</t>
  </si>
  <si>
    <t>AOP</t>
  </si>
  <si>
    <t>VF: premie verplichte aansluiting</t>
  </si>
  <si>
    <t>VF: premie vrijwillige aansluiting</t>
  </si>
  <si>
    <t>Structurele nominale uitkering</t>
  </si>
  <si>
    <t>Inzet 0,8% levensloop</t>
  </si>
  <si>
    <t>management. Op die wijze is het immers mogelijk om redelijk nauwkeurig de totale werkgeverslasten te ramen van een werknemer.</t>
  </si>
  <si>
    <t>Schaaluitloopbedrag</t>
  </si>
  <si>
    <t>LA  en LB</t>
  </si>
  <si>
    <t>schaal-uitloopbedrag</t>
  </si>
  <si>
    <t>Toelage directeuren</t>
  </si>
  <si>
    <t>toelage directeuren</t>
  </si>
  <si>
    <t>Belastingvoordeel werknemer: Wie (on)betaald ouderschapsverlof opneemt, krijgt een fiscaal voordeel van</t>
  </si>
  <si>
    <t>Twee aanloopschalen bij ID1 zijn achterwege gelaten (minder relevant en onnodig complicerend voor de uitwerking in dit instrument).</t>
  </si>
  <si>
    <t>bij een normbetrekking, per maand</t>
  </si>
  <si>
    <t>poraad</t>
  </si>
  <si>
    <t xml:space="preserve">Het bruto-netto traject geeft de informatie over de omvang van het bijdrage-inkomen (voorheen coördinatieloon) waarover </t>
  </si>
  <si>
    <t>Schaal-uitlooptoeslag</t>
  </si>
  <si>
    <t>Deze toeslag wordt toegekend op basis van artikel 6.14b van de CAO PO.</t>
  </si>
  <si>
    <t>Voor nadere informatie:</t>
  </si>
  <si>
    <t xml:space="preserve">In individuele gevallen zal er nog sprake zijn van loonkosten die hier niet zijn opgenomen. Bijvoorbeeld reiskosten, een </t>
  </si>
  <si>
    <t>jubileumuitkering of spaarloon. Dergelijke componenten zijn in dit model niet verwerkt.</t>
  </si>
  <si>
    <t>www.poraad.nl</t>
  </si>
  <si>
    <t>Netto kosten werkgever Inclusief (incl. werkgeverslasten)</t>
  </si>
  <si>
    <t>Kosten ouderschapsverlof BESTUUR</t>
  </si>
  <si>
    <t xml:space="preserve">KOSTEN EN BATEN BETAALD OUDERSCHAPSVERLOF </t>
  </si>
  <si>
    <r>
      <t xml:space="preserve">Werktijdfactor: </t>
    </r>
    <r>
      <rPr>
        <sz val="11"/>
        <rFont val="Calibri"/>
        <family val="2"/>
      </rPr>
      <t>gewijzigd in nieuwe functie</t>
    </r>
  </si>
  <si>
    <t>Kosten totaal (tot pensioen/uittreden)</t>
  </si>
  <si>
    <t xml:space="preserve">Kosten wijziging bestaande functie in andere </t>
  </si>
  <si>
    <t>EXTRA PERIODIEKEN</t>
  </si>
  <si>
    <t>Basisgegevens</t>
  </si>
  <si>
    <t>incl. afdracht loonbel. en premie</t>
  </si>
  <si>
    <t>opgave OCW 2001 (CBS: 1,6)</t>
  </si>
  <si>
    <t>per opgenomen verlofuur. Deelname aan de levensloopregeling is niet langer nodig. Daarnaast geldt een levensloopverlof-</t>
  </si>
  <si>
    <t xml:space="preserve">korting die gelijk is aan het opgenomen bedrag met een maximum van </t>
  </si>
  <si>
    <t>kalenderjaar</t>
  </si>
  <si>
    <t>schooljaar</t>
  </si>
  <si>
    <t xml:space="preserve">KOSTEN WIJZIGING BESTAANDE FUNCTIE </t>
  </si>
  <si>
    <t>Alleen de gele velden kunnen worden gewijzigd, en bevatten de op te geven variabelen voor de berekeningen.</t>
  </si>
  <si>
    <t>(VUT/FPU basis)</t>
  </si>
  <si>
    <t xml:space="preserve">Ter nadere info: </t>
  </si>
  <si>
    <t>Geboortedatum</t>
  </si>
  <si>
    <t>WTF</t>
  </si>
  <si>
    <t>Loonheffing</t>
  </si>
  <si>
    <t>Na overgang van schaal LA naar LB basisschool resp. schaal LB naar LC SBO en (V)SO vervalt het recht op de schaal-uitlooptoeslag.</t>
  </si>
  <si>
    <t xml:space="preserve">ten opzichte van het bruto salaris. Op die wijze kan het als kengetal worden gehanteerd bij de vaststelling van de totale loonkosten </t>
  </si>
  <si>
    <t>Het wordt met klem aangeraden om zelf een berekening van de werkgeverslasten te maken op basis van de verhouding tussen</t>
  </si>
  <si>
    <t xml:space="preserve">alle loonlasten enerzijds en de bruto salarissen anderzijds van het laatste school- resp. kalenderjaar. </t>
  </si>
  <si>
    <t>Aangevuld met de laatste ramingen omtrent de ontwikkelingen van de diverse werkgeverslasten zoals premies e.d.</t>
  </si>
  <si>
    <t>Door dit te relateren aan het bruto salaris van die werknemer wordt het opslagpercentage verkregen.</t>
  </si>
  <si>
    <t>vanaf 1 jan. 2011</t>
  </si>
  <si>
    <t xml:space="preserve">Echter de pensioenpremies en de premies van het VF/PF wijzigen momenteel vaker, waardoor de berekening dan een </t>
  </si>
  <si>
    <t>Functie</t>
  </si>
  <si>
    <t>toe(s)lagen</t>
  </si>
  <si>
    <t>OOP &lt;S9</t>
  </si>
  <si>
    <t>VF: geen vrijwillige aansluiting</t>
  </si>
  <si>
    <t>(1)</t>
  </si>
  <si>
    <t>(2)</t>
  </si>
  <si>
    <t>(3)</t>
  </si>
  <si>
    <t>(4)</t>
  </si>
  <si>
    <t>Overgangspremie VPL</t>
  </si>
  <si>
    <t>Jaarinkomen</t>
  </si>
  <si>
    <t>op regel 15 - het maximum - komt, dan meteen ook de schaal-uitlooptoeslag ontvangt.</t>
  </si>
  <si>
    <t>besl.regel</t>
  </si>
  <si>
    <t>WTF * mnd.sal</t>
  </si>
  <si>
    <t xml:space="preserve">compensatie </t>
  </si>
  <si>
    <t>ziektekosten</t>
  </si>
  <si>
    <t>Berekening Werkgeverslasten (per maand)</t>
  </si>
  <si>
    <t xml:space="preserve">ZVW vergoeding </t>
  </si>
  <si>
    <t>eindejrs. uitk. OOP</t>
  </si>
  <si>
    <t>eindejrs. uitk.</t>
  </si>
  <si>
    <t>vakantieuitk.</t>
  </si>
  <si>
    <t>datum</t>
  </si>
  <si>
    <t>schaal-uitloop</t>
  </si>
  <si>
    <t>bedrag</t>
  </si>
  <si>
    <t>schaal-uitloop bedr.</t>
  </si>
  <si>
    <t>inschaling</t>
  </si>
  <si>
    <t xml:space="preserve">toelage </t>
  </si>
  <si>
    <t>directeuren</t>
  </si>
  <si>
    <t xml:space="preserve">geboorte </t>
  </si>
  <si>
    <t xml:space="preserve">Bijdrage-inkomen </t>
  </si>
  <si>
    <t>Loon voor de</t>
  </si>
  <si>
    <t xml:space="preserve"> loonbelasting</t>
  </si>
  <si>
    <t>Totaal pensioen</t>
  </si>
  <si>
    <t>premie</t>
  </si>
  <si>
    <t>bindings-</t>
  </si>
  <si>
    <t>toelage</t>
  </si>
  <si>
    <t xml:space="preserve">kosten </t>
  </si>
  <si>
    <t>levensloop</t>
  </si>
  <si>
    <t xml:space="preserve">Jaarinkomen </t>
  </si>
  <si>
    <t>ABP</t>
  </si>
  <si>
    <t>salaris</t>
  </si>
  <si>
    <t>jaar</t>
  </si>
  <si>
    <t>categorie</t>
  </si>
  <si>
    <t>ja/nee</t>
  </si>
  <si>
    <t>norm</t>
  </si>
  <si>
    <t xml:space="preserve"> mnd.sal.</t>
  </si>
  <si>
    <t xml:space="preserve">subtotaal </t>
  </si>
  <si>
    <t>incl. salaris</t>
  </si>
  <si>
    <t>salarisgegevens</t>
  </si>
  <si>
    <t>uitloop</t>
  </si>
  <si>
    <t>toeslag</t>
  </si>
  <si>
    <t>vakantie</t>
  </si>
  <si>
    <t>uitk.</t>
  </si>
  <si>
    <t xml:space="preserve">eindejrs. </t>
  </si>
  <si>
    <t>uitk. OOP</t>
  </si>
  <si>
    <t xml:space="preserve">uitlooptoesl. </t>
  </si>
  <si>
    <t>eigen beleid</t>
  </si>
  <si>
    <t>ZVW premie werkgever</t>
  </si>
  <si>
    <t xml:space="preserve">ZVW premie </t>
  </si>
  <si>
    <t>Structurele no-</t>
  </si>
  <si>
    <t>minale uitkering</t>
  </si>
  <si>
    <t>n</t>
  </si>
  <si>
    <t>In het werkblad Werkgeverslasten zijn er vier keuzes voor de bepaling van het premiepercentage VF dat van toepassing is!</t>
  </si>
  <si>
    <r>
      <t xml:space="preserve">Omdat de premies aangepast worden per 1 januari hebben de berekeningen Werkgeverslasten betrekking op het </t>
    </r>
    <r>
      <rPr>
        <b/>
        <sz val="10"/>
        <rFont val="Calibri"/>
        <family val="2"/>
      </rPr>
      <t>kalenderjaar</t>
    </r>
    <r>
      <rPr>
        <sz val="10"/>
        <rFont val="Calibri"/>
        <family val="2"/>
      </rPr>
      <t>.</t>
    </r>
  </si>
  <si>
    <t>Werkblad Werkgeverslasten</t>
  </si>
  <si>
    <t xml:space="preserve">Dit programmaonderdeel heeft niet de pretentie een exacte salarisberekening te maken! Zo wordt ook de vakantieuitkering en de </t>
  </si>
  <si>
    <t>Ook zijn niet alle mogelijke heffingskortingen meegenomen.</t>
  </si>
  <si>
    <t>Premies</t>
  </si>
  <si>
    <t>Gedifferentieerde premie WGA wordt gedifferentieerde premie Whk</t>
  </si>
  <si>
    <t xml:space="preserve">De belastingdienst stelt de gedifferentieerde premie WGA per werkgever vast. De premie is afhankelijk van het arbeidsongeschiktheidsrisico </t>
  </si>
  <si>
    <t>daarvan te complex wordt voor dit instrument laten we deze premiebetaling buiten beschouwing.</t>
  </si>
  <si>
    <t xml:space="preserve">De gedifferentieerde premie WGA wordt nu de gedifferentieerde premie Werkhervattingskas waarbij de premie voor de vaste dienstbetrekkingen </t>
  </si>
  <si>
    <t xml:space="preserve">Voor het vaststellen van het percentage is van belang of er sprake is van een grote, een middelgrote of kleine werkgever. Voor kleine werkgevers </t>
  </si>
  <si>
    <t>de premie vastgesteld als een gewogen gemiddelde van de sectorale en de individuele premie.</t>
  </si>
  <si>
    <t>raming werkgeverslasten</t>
  </si>
  <si>
    <t xml:space="preserve">Op grond van het bruto salaris per maand wordt het jaarinkomen berekend. </t>
  </si>
  <si>
    <t>Het jaarinkomen ABP wordt bepaald op basis van de situatie in januari van het betreffende jaar.</t>
  </si>
  <si>
    <t>de sociale premies berekend moeten worden.</t>
  </si>
  <si>
    <t xml:space="preserve">Ten opzichte van het jaarinkomen wordt dat in een percentage omgerekend, maar belangrijker: ook in een opslagpercentage </t>
  </si>
  <si>
    <t>helpdesk@poraad.nl</t>
  </si>
  <si>
    <t>De gegevens omtrent de grondslag van uitkeringen e.d. zijn ontleend aan de Internetpublicaties van de Belastingdienst, ABP, UWV en OCW, en</t>
  </si>
  <si>
    <t>FPU (VUT/FPU basis)</t>
  </si>
  <si>
    <t>WAO/WIA-basispremie (AOF, incl. KO)</t>
  </si>
  <si>
    <t>UFO-premie</t>
  </si>
  <si>
    <t xml:space="preserve">Ingevuld is de premie voor kleine werkgevers. Voor middelgrote en grote werkgevers dient u zelf de percentages in te vullen die u van de </t>
  </si>
  <si>
    <t>Belastingdienst krijgt toegestuurd.</t>
  </si>
  <si>
    <t>datum nu</t>
  </si>
  <si>
    <t xml:space="preserve">eindejaarsuitkering per maand berekend. Het beoogt alleen een indicatie te geven van de omvang van de werkgeverslasten en enig inzicht </t>
  </si>
  <si>
    <t>te geven in de opbouw daarvan. Als zodanig is het een hulpmiddel voor het management bij het ramen van de personele kosten.</t>
  </si>
  <si>
    <t>Whk-gediferentieerd</t>
  </si>
  <si>
    <t>aangeduid wordt als het premiedeel Whk-gedifferentieerd. Daarnaast zijn er premies voor de flexibele dienstbetrekkingen.</t>
  </si>
  <si>
    <t>Premie Whk-gedifferentieerd</t>
  </si>
  <si>
    <t xml:space="preserve">zijn de gedifferentieerde premies per sector vastgesteld. Voor grote werkgevers gebeurt dat individueel. Voor middelgrote werkgevers wordt </t>
  </si>
  <si>
    <t>Opslag-%</t>
  </si>
  <si>
    <t>Totale loonkosten</t>
  </si>
  <si>
    <t>Totale loonkosten in €</t>
  </si>
  <si>
    <r>
      <t xml:space="preserve">in de werkorganisatie. Per 1 januari 2014 moet nu ook een gedifferentieerde premie betaald worden voor </t>
    </r>
    <r>
      <rPr>
        <b/>
        <sz val="10"/>
        <rFont val="Calibri"/>
        <family val="2"/>
      </rPr>
      <t>flexwerkers</t>
    </r>
    <r>
      <rPr>
        <sz val="10"/>
        <rFont val="Calibri"/>
        <family val="2"/>
      </rPr>
      <t xml:space="preserve">. Omdat verwerking </t>
    </r>
  </si>
  <si>
    <t>t.o.v. brutosal.</t>
  </si>
  <si>
    <t>Doelgroep Eigen RisicoDrager (ERD)</t>
  </si>
  <si>
    <t>ERD WD14</t>
  </si>
  <si>
    <t>ERD WD42</t>
  </si>
  <si>
    <t>ERD SL80</t>
  </si>
  <si>
    <t>ERD SL100</t>
  </si>
  <si>
    <t>Volledig ERD</t>
  </si>
  <si>
    <t>VF: ERD</t>
  </si>
  <si>
    <t xml:space="preserve">Houd er rekening mee dat het rechtspositioneel verlof vanaf 1 jan. 2015 voor eigen rekening komt (art. 8.18 lid 1 onder b en c). </t>
  </si>
  <si>
    <t xml:space="preserve">Bij het VF geldt de mogelijkheid om EigenRisicoDrager (ERD) te zijn. Daarbij gelden enkele varianten: </t>
  </si>
  <si>
    <t>Volledig ERD:</t>
  </si>
  <si>
    <t>ERD WD14:</t>
  </si>
  <si>
    <t>ERD WD42:</t>
  </si>
  <si>
    <t>ERD SL80:</t>
  </si>
  <si>
    <t>ERD SL100:</t>
  </si>
  <si>
    <t xml:space="preserve"> (14 wachtdagen)</t>
  </si>
  <si>
    <t xml:space="preserve"> (42 wachtdagen)</t>
  </si>
  <si>
    <t xml:space="preserve"> (Stop Los 80)</t>
  </si>
  <si>
    <t xml:space="preserve"> (Stop Los 100)</t>
  </si>
  <si>
    <r>
      <t xml:space="preserve">De keuze van eigen risicodragerschap is </t>
    </r>
    <r>
      <rPr>
        <b/>
        <sz val="10"/>
        <rFont val="Calibri"/>
        <family val="2"/>
      </rPr>
      <t>verbreed</t>
    </r>
    <r>
      <rPr>
        <sz val="10"/>
        <rFont val="Calibri"/>
        <family val="2"/>
      </rPr>
      <t xml:space="preserve"> voor ook samenwerkingsverbanden van besturen.</t>
    </r>
  </si>
  <si>
    <t xml:space="preserve">De aanpassingen als gevolg van het actieplan LeerKracht zijn volledig verwerkt. Dat betreft de structurele nominale </t>
  </si>
  <si>
    <t xml:space="preserve">uitkering van € 200, de toelage directeuren en het schaal-uitloopbedrag, plus ook de inkortingen van de schalen. </t>
  </si>
  <si>
    <t>In 2015 zijn enkele wijzigingen in de premievaststelling aan de orde geweest.</t>
  </si>
  <si>
    <t>schaaluitloop</t>
  </si>
  <si>
    <t>bedrag ja/nee</t>
  </si>
  <si>
    <r>
      <t xml:space="preserve">bijgestelde versie van dit instrument vergt. In die gevallen komt er dus een </t>
    </r>
    <r>
      <rPr>
        <b/>
        <sz val="10"/>
        <rFont val="Calibri"/>
        <family val="2"/>
      </rPr>
      <t>bijgestelde versie</t>
    </r>
    <r>
      <rPr>
        <sz val="10"/>
        <rFont val="Calibri"/>
        <family val="2"/>
      </rPr>
      <t>.</t>
    </r>
  </si>
  <si>
    <t xml:space="preserve">Door in werkblad 'wgl' te varieren naar omvang werktijdfactor, per schaal en in een schaal wat betreft de inschaling naar regel van laag naar </t>
  </si>
  <si>
    <t xml:space="preserve">hoog verkrijgt men inzicht in het percentage wat voor die betreffende schaal van toepassing is. Dat is van belang voor het financieel </t>
  </si>
  <si>
    <t xml:space="preserve">Door alle werknemers in te voeren in werkblad 'wgl tot' verkrijgt men de WG-lasten voor alle personeelsleden en daarmee ook het percentage </t>
  </si>
  <si>
    <t>WG-lasten dat voor deze werkgever van toepassing is.</t>
  </si>
  <si>
    <t xml:space="preserve">voor een werkgever. </t>
  </si>
  <si>
    <t>De debrutering bij de bepaling van het ABP-jaarloon is afgeschaft.</t>
  </si>
  <si>
    <t>eenmalige</t>
  </si>
  <si>
    <t>uitkering april</t>
  </si>
  <si>
    <t>Bijdrage-inkomen</t>
  </si>
  <si>
    <t>ZVW premie</t>
  </si>
  <si>
    <t>https://zoek.officielebekendmakingen.nl/stcrt-2017-49381.html</t>
  </si>
  <si>
    <t>https://www.salarisnet.nl/2017/09/inkomensafhankelijke-bijdrage-zorgverzekeringswet-stijgt-in-2018/</t>
  </si>
  <si>
    <t>https://www.abp.nl/images/24.0006.18_premietabel_2018.pdf</t>
  </si>
  <si>
    <t>idem</t>
  </si>
  <si>
    <t>https://www.participatiefonds.nl/artikelen/2017/premie-1-1-2018.html</t>
  </si>
  <si>
    <t>https://www.vervangingsfonds.nl/over-ons/nieuws/actueel/premies-per-1-januari-2018-definitief-vastgesteld</t>
  </si>
  <si>
    <t>meer info</t>
  </si>
  <si>
    <t>https://www.salarisnet.nl/2017/11/premies-werknemers-en-volksverzekeringen-2018/</t>
  </si>
  <si>
    <t>2017/2018</t>
  </si>
  <si>
    <t>nog niet van toepassing</t>
  </si>
  <si>
    <t>http://belastingschijven.net/belastingschijven-2018/</t>
  </si>
  <si>
    <t xml:space="preserve">de CAO PO 2016-2017. </t>
  </si>
  <si>
    <t>BEREKENING WERKGEVERSLASTEN</t>
  </si>
  <si>
    <t>BRUTO-NETTO TRAJECT WERKNEMER (indicatief)</t>
  </si>
  <si>
    <t>BASISGEGEVENS</t>
  </si>
  <si>
    <t>Werkgeverspercentage: opslag% t.o.v. bruto salaris</t>
  </si>
  <si>
    <t>Nettosalaris (indicatief)</t>
  </si>
  <si>
    <t xml:space="preserve">De salaristabellen zijn de tabellen die per 1 -1-2016 gelden. De algemene premies zijn van toepassing vanaf 1 januari 2018. </t>
  </si>
  <si>
    <r>
      <t xml:space="preserve">De premie van het PF is verhoogd naar </t>
    </r>
    <r>
      <rPr>
        <b/>
        <sz val="10"/>
        <rFont val="Calibri"/>
        <family val="2"/>
      </rPr>
      <t>5,25%.</t>
    </r>
  </si>
  <si>
    <r>
      <t xml:space="preserve">Dit werkblad bevat relevante tabellen, conform de gegevens zoals die vanaf </t>
    </r>
    <r>
      <rPr>
        <b/>
        <sz val="10"/>
        <color rgb="FFFF0000"/>
        <rFont val="Calibri"/>
        <family val="2"/>
      </rPr>
      <t xml:space="preserve">1 januari 2018 </t>
    </r>
    <r>
      <rPr>
        <sz val="10"/>
        <rFont val="Calibri"/>
        <family val="2"/>
      </rPr>
      <t>gelden.</t>
    </r>
  </si>
  <si>
    <t>van toepassing vanaf 1 januari 2018</t>
  </si>
  <si>
    <t>Belastingen 2018</t>
  </si>
  <si>
    <t>Tarieven, bedragen en percentages vanaf 1 januari 2018</t>
  </si>
  <si>
    <t xml:space="preserve"> vanaf 1 januari </t>
  </si>
  <si>
    <r>
      <t xml:space="preserve">Het schaal-uitloopbedrag wordt toegekend zodra het maximum wordt bereikt. Het betekent dus ook dat degene die op </t>
    </r>
    <r>
      <rPr>
        <b/>
        <sz val="10"/>
        <rFont val="Calibri"/>
        <family val="2"/>
      </rPr>
      <t>1 januari 2018</t>
    </r>
  </si>
  <si>
    <t>wordt weergegeven, met gebruikmaking van alleen het tarief van box 1 van de loonbelasting.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</si>
</sst>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quot;€&quot;\ * #,##0.00_ ;_ &quot;€&quot;\ * \-#,##0.00_ ;_ &quot;€&quot;\ * &quot;-&quot;??_ ;_ @_ "/>
    <numFmt numFmtId="164" formatCode="&quot;€&quot;\ #,##0_-;[Red]&quot;€&quot;\ #,##0\-"/>
    <numFmt numFmtId="165" formatCode="_-&quot;€&quot;\ * #,##0_-;_-&quot;€&quot;\ * #,##0\-;_-&quot;€&quot;\ * &quot;-&quot;_-;_-@_-"/>
    <numFmt numFmtId="166" formatCode="_-&quot;€&quot;\ * #,##0.00_-;_-&quot;€&quot;\ * #,##0.00\-;_-&quot;€&quot;\ * &quot;-&quot;??_-;_-@_-"/>
    <numFmt numFmtId="167" formatCode="&quot;€&quot;\ #,##0.00_);[Red]\(&quot;€&quot;\ #,##0.00\)"/>
    <numFmt numFmtId="168" formatCode="_(&quot;€&quot;\ * #,##0_);_(&quot;€&quot;\ * \(#,##0\);_(&quot;€&quot;\ * &quot;-&quot;_);_(@_)"/>
    <numFmt numFmtId="169" formatCode="_-&quot;fl&quot;\ * #,##0.00_-;_-&quot;fl&quot;\ * #,##0.00\-;_-&quot;fl&quot;\ * &quot;-&quot;??_-;_-@_-"/>
    <numFmt numFmtId="170" formatCode="d/mm/yy"/>
    <numFmt numFmtId="171" formatCode="0.0000"/>
    <numFmt numFmtId="172" formatCode="0.000%"/>
    <numFmt numFmtId="173" formatCode="#,##0.00_ ;[Red]\-#,##0.00\ "/>
    <numFmt numFmtId="174" formatCode="0.0%"/>
    <numFmt numFmtId="175" formatCode="#,##0.0000_ ;\-#,##0.0000\ "/>
    <numFmt numFmtId="176" formatCode="#,##0_-"/>
    <numFmt numFmtId="177" formatCode="_-&quot;€&quot;\ * #,##0_-;_-&quot;€&quot;\ * #,##0\-;_-&quot;€&quot;\ * &quot;-&quot;??_-;_-@_-"/>
    <numFmt numFmtId="178" formatCode="0_ ;\-0\ "/>
    <numFmt numFmtId="179" formatCode="_ [$€-413]\ * #,##0.00_ ;_ [$€-413]\ * \-#,##0.00_ ;_ [$€-413]\ * &quot;-&quot;??_ ;_ @_ "/>
  </numFmts>
  <fonts count="93" x14ac:knownFonts="1">
    <font>
      <sz val="10"/>
      <name val="Arial"/>
    </font>
    <font>
      <sz val="10"/>
      <name val="Arial"/>
      <family val="2"/>
    </font>
    <font>
      <u/>
      <sz val="10"/>
      <color indexed="12"/>
      <name val="Arial"/>
      <family val="2"/>
    </font>
    <font>
      <sz val="10"/>
      <color indexed="81"/>
      <name val="Tahoma"/>
      <family val="2"/>
    </font>
    <font>
      <sz val="9"/>
      <color indexed="81"/>
      <name val="Tahoma"/>
      <family val="2"/>
    </font>
    <font>
      <sz val="8"/>
      <color indexed="81"/>
      <name val="Tahoma"/>
      <family val="2"/>
    </font>
    <font>
      <sz val="8"/>
      <name val="Arial"/>
      <family val="2"/>
    </font>
    <font>
      <sz val="11"/>
      <name val="Calibri"/>
      <family val="2"/>
    </font>
    <font>
      <sz val="10"/>
      <name val="Calibri"/>
      <family val="2"/>
    </font>
    <font>
      <b/>
      <sz val="10"/>
      <name val="Calibri"/>
      <family val="2"/>
    </font>
    <font>
      <b/>
      <i/>
      <sz val="10"/>
      <name val="Calibri"/>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name val="Calibri"/>
      <family val="2"/>
    </font>
    <font>
      <b/>
      <sz val="11"/>
      <name val="Calibri"/>
      <family val="2"/>
    </font>
    <font>
      <sz val="11"/>
      <color indexed="10"/>
      <name val="Calibri"/>
      <family val="2"/>
    </font>
    <font>
      <b/>
      <sz val="11"/>
      <color indexed="10"/>
      <name val="Calibri"/>
      <family val="2"/>
    </font>
    <font>
      <i/>
      <sz val="11"/>
      <name val="Calibri"/>
      <family val="2"/>
    </font>
    <font>
      <b/>
      <sz val="12"/>
      <color indexed="9"/>
      <name val="Calibri"/>
      <family val="2"/>
    </font>
    <font>
      <i/>
      <sz val="11"/>
      <color indexed="10"/>
      <name val="Calibri"/>
      <family val="2"/>
    </font>
    <font>
      <i/>
      <sz val="11"/>
      <color indexed="23"/>
      <name val="Calibri"/>
      <family val="2"/>
    </font>
    <font>
      <sz val="10"/>
      <name val="Calibri"/>
      <family val="2"/>
    </font>
    <font>
      <b/>
      <sz val="10"/>
      <name val="Calibri"/>
      <family val="2"/>
    </font>
    <font>
      <b/>
      <i/>
      <sz val="11"/>
      <color indexed="10"/>
      <name val="Calibri"/>
      <family val="2"/>
    </font>
    <font>
      <sz val="11"/>
      <color indexed="10"/>
      <name val="Calibri"/>
      <family val="2"/>
    </font>
    <font>
      <b/>
      <i/>
      <sz val="11"/>
      <color indexed="23"/>
      <name val="Calibri"/>
      <family val="2"/>
    </font>
    <font>
      <sz val="11"/>
      <color indexed="23"/>
      <name val="Calibri"/>
      <family val="2"/>
    </font>
    <font>
      <i/>
      <sz val="12"/>
      <name val="Calibri"/>
      <family val="2"/>
    </font>
    <font>
      <b/>
      <sz val="14"/>
      <color indexed="10"/>
      <name val="Calibri"/>
      <family val="2"/>
    </font>
    <font>
      <sz val="14"/>
      <color indexed="10"/>
      <name val="Calibri"/>
      <family val="2"/>
    </font>
    <font>
      <b/>
      <sz val="10"/>
      <color indexed="10"/>
      <name val="Calibri"/>
      <family val="2"/>
    </font>
    <font>
      <b/>
      <sz val="11"/>
      <color indexed="23"/>
      <name val="Calibri"/>
      <family val="2"/>
    </font>
    <font>
      <sz val="10"/>
      <color indexed="10"/>
      <name val="Calibri"/>
      <family val="2"/>
    </font>
    <font>
      <i/>
      <sz val="10"/>
      <name val="Calibri"/>
      <family val="2"/>
    </font>
    <font>
      <u/>
      <sz val="10"/>
      <color indexed="12"/>
      <name val="Calibri"/>
      <family val="2"/>
    </font>
    <font>
      <b/>
      <i/>
      <sz val="11"/>
      <color indexed="8"/>
      <name val="Calibri"/>
      <family val="2"/>
    </font>
    <font>
      <b/>
      <sz val="14"/>
      <color indexed="8"/>
      <name val="Calibri"/>
      <family val="2"/>
    </font>
    <font>
      <i/>
      <sz val="11"/>
      <color indexed="8"/>
      <name val="Calibri"/>
      <family val="2"/>
    </font>
    <font>
      <sz val="11"/>
      <color indexed="22"/>
      <name val="Calibri"/>
      <family val="2"/>
    </font>
    <font>
      <b/>
      <i/>
      <sz val="12"/>
      <color indexed="55"/>
      <name val="Calibri"/>
      <family val="2"/>
    </font>
    <font>
      <sz val="11"/>
      <color indexed="55"/>
      <name val="Calibri"/>
      <family val="2"/>
    </font>
    <font>
      <sz val="10"/>
      <name val="Calibri"/>
      <family val="2"/>
    </font>
    <font>
      <b/>
      <sz val="10"/>
      <name val="Calibri"/>
      <family val="2"/>
    </font>
    <font>
      <i/>
      <sz val="10"/>
      <name val="Calibri"/>
      <family val="2"/>
    </font>
    <font>
      <sz val="10"/>
      <color indexed="10"/>
      <name val="Calibri"/>
      <family val="2"/>
    </font>
    <font>
      <sz val="10"/>
      <color indexed="22"/>
      <name val="Calibri"/>
      <family val="2"/>
    </font>
    <font>
      <sz val="10"/>
      <color indexed="8"/>
      <name val="Calibri"/>
      <family val="2"/>
    </font>
    <font>
      <sz val="11"/>
      <color indexed="9"/>
      <name val="Calibri"/>
      <family val="2"/>
    </font>
    <font>
      <b/>
      <sz val="10"/>
      <color indexed="60"/>
      <name val="Calibri"/>
      <family val="2"/>
    </font>
    <font>
      <sz val="10"/>
      <color indexed="60"/>
      <name val="Calibri"/>
      <family val="2"/>
    </font>
    <font>
      <b/>
      <sz val="10"/>
      <color indexed="60"/>
      <name val="Calibri"/>
      <family val="2"/>
    </font>
    <font>
      <i/>
      <sz val="10"/>
      <color indexed="60"/>
      <name val="Calibri"/>
      <family val="2"/>
    </font>
    <font>
      <sz val="10"/>
      <color indexed="22"/>
      <name val="Calibri"/>
      <family val="2"/>
    </font>
    <font>
      <i/>
      <sz val="10"/>
      <color indexed="22"/>
      <name val="Calibri"/>
      <family val="2"/>
    </font>
    <font>
      <sz val="14"/>
      <name val="Calibri"/>
      <family val="2"/>
    </font>
    <font>
      <sz val="14"/>
      <color indexed="60"/>
      <name val="Calibri"/>
      <family val="2"/>
    </font>
    <font>
      <i/>
      <sz val="14"/>
      <name val="Calibri"/>
      <family val="2"/>
    </font>
    <font>
      <sz val="14"/>
      <color indexed="10"/>
      <name val="Calibri"/>
      <family val="2"/>
    </font>
    <font>
      <sz val="12"/>
      <name val="Calibri"/>
      <family val="2"/>
    </font>
    <font>
      <b/>
      <sz val="12"/>
      <color indexed="60"/>
      <name val="Calibri"/>
      <family val="2"/>
    </font>
    <font>
      <sz val="14"/>
      <color indexed="60"/>
      <name val="Calibri"/>
      <family val="2"/>
    </font>
    <font>
      <sz val="11"/>
      <color indexed="81"/>
      <name val="Tahoma"/>
      <family val="2"/>
    </font>
    <font>
      <sz val="12"/>
      <name val="Calibri"/>
      <family val="2"/>
    </font>
    <font>
      <sz val="10"/>
      <color indexed="10"/>
      <name val="Calibri"/>
      <family val="2"/>
      <scheme val="minor"/>
    </font>
    <font>
      <sz val="14"/>
      <color indexed="10"/>
      <name val="Calibri"/>
      <family val="2"/>
      <scheme val="minor"/>
    </font>
    <font>
      <sz val="10"/>
      <name val="Calibri"/>
      <family val="2"/>
      <scheme val="minor"/>
    </font>
    <font>
      <sz val="10"/>
      <color indexed="8"/>
      <name val="Calibri"/>
      <family val="2"/>
      <scheme val="minor"/>
    </font>
    <font>
      <b/>
      <i/>
      <sz val="10"/>
      <name val="Calibri"/>
      <family val="2"/>
      <scheme val="minor"/>
    </font>
    <font>
      <u/>
      <sz val="10"/>
      <color indexed="12"/>
      <name val="Calibri"/>
      <family val="2"/>
      <scheme val="minor"/>
    </font>
    <font>
      <sz val="10"/>
      <color rgb="FFC00000"/>
      <name val="Calibri"/>
      <family val="2"/>
    </font>
    <font>
      <b/>
      <i/>
      <sz val="10"/>
      <color theme="5"/>
      <name val="Calibri"/>
      <family val="2"/>
    </font>
    <font>
      <sz val="10"/>
      <color theme="5"/>
      <name val="Calibri"/>
      <family val="2"/>
    </font>
    <font>
      <sz val="10"/>
      <color rgb="FF002060"/>
      <name val="Calibri"/>
      <family val="2"/>
    </font>
    <font>
      <i/>
      <sz val="10"/>
      <color theme="0" tint="-0.249977111117893"/>
      <name val="Calibri"/>
      <family val="2"/>
    </font>
    <font>
      <sz val="14"/>
      <color theme="5"/>
      <name val="Calibri"/>
      <family val="2"/>
    </font>
    <font>
      <i/>
      <sz val="12"/>
      <color indexed="8"/>
      <name val="Calibri"/>
      <family val="2"/>
    </font>
    <font>
      <b/>
      <sz val="10"/>
      <color rgb="FFFF0000"/>
      <name val="Calibri"/>
      <family val="2"/>
    </font>
    <font>
      <sz val="10"/>
      <color theme="1" tint="0.34998626667073579"/>
      <name val="Calibri"/>
      <family val="2"/>
    </font>
    <font>
      <i/>
      <sz val="10"/>
      <color theme="1" tint="0.34998626667073579"/>
      <name val="Calibri"/>
      <family val="2"/>
    </font>
    <font>
      <b/>
      <i/>
      <sz val="10"/>
      <color theme="1" tint="0.34998626667073579"/>
      <name val="Calibri"/>
      <family val="2"/>
    </font>
    <font>
      <b/>
      <sz val="10"/>
      <color theme="1" tint="0.34998626667073579"/>
      <name val="Calibri"/>
      <family val="2"/>
    </font>
    <font>
      <sz val="14"/>
      <color theme="1" tint="0.34998626667073579"/>
      <name val="Calibri"/>
      <family val="2"/>
    </font>
    <font>
      <sz val="14"/>
      <color rgb="FFC00000"/>
      <name val="Calibri"/>
      <family val="2"/>
    </font>
    <font>
      <b/>
      <sz val="14"/>
      <name val="Calibri"/>
      <family val="2"/>
    </font>
    <font>
      <b/>
      <sz val="10"/>
      <color indexed="22"/>
      <name val="Calibri"/>
      <family val="2"/>
    </font>
    <font>
      <sz val="10"/>
      <color theme="0" tint="-0.249977111117893"/>
      <name val="Calibri"/>
      <family val="2"/>
    </font>
    <font>
      <sz val="10"/>
      <color rgb="FF2B2B2B"/>
      <name val="Calibri"/>
      <family val="2"/>
      <scheme val="minor"/>
    </font>
    <font>
      <b/>
      <sz val="10"/>
      <name val="Calibri"/>
      <family val="2"/>
      <scheme val="minor"/>
    </font>
    <font>
      <sz val="10"/>
      <color indexed="55"/>
      <name val="Calibri"/>
      <family val="2"/>
      <scheme val="minor"/>
    </font>
    <font>
      <b/>
      <sz val="10"/>
      <color indexed="10"/>
      <name val="Calibri"/>
      <family val="2"/>
      <scheme val="minor"/>
    </font>
    <font>
      <sz val="10"/>
      <color theme="0" tint="-0.14999847407452621"/>
      <name val="Calibri"/>
      <family val="2"/>
      <scheme val="minor"/>
    </font>
  </fonts>
  <fills count="19">
    <fill>
      <patternFill patternType="none"/>
    </fill>
    <fill>
      <patternFill patternType="gray125"/>
    </fill>
    <fill>
      <patternFill patternType="solid">
        <fgColor indexed="31"/>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44">
    <border>
      <left/>
      <right/>
      <top/>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47"/>
      </right>
      <top/>
      <bottom style="thin">
        <color indexed="47"/>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diagonal/>
    </border>
    <border>
      <left style="thin">
        <color indexed="47"/>
      </left>
      <right style="thin">
        <color indexed="47"/>
      </right>
      <top style="thin">
        <color indexed="47"/>
      </top>
      <bottom/>
      <diagonal/>
    </border>
    <border>
      <left style="thin">
        <color indexed="47"/>
      </left>
      <right/>
      <top style="thin">
        <color indexed="47"/>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9"/>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top/>
      <bottom style="thin">
        <color theme="0"/>
      </bottom>
      <diagonal/>
    </border>
    <border>
      <left style="thin">
        <color indexed="22"/>
      </left>
      <right style="thin">
        <color indexed="2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5">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xf numFmtId="169" fontId="1" fillId="0" borderId="0" applyFont="0" applyFill="0" applyBorder="0" applyAlignment="0" applyProtection="0"/>
    <xf numFmtId="0" fontId="1" fillId="0" borderId="0"/>
  </cellStyleXfs>
  <cellXfs count="712">
    <xf numFmtId="0" fontId="0" fillId="0" borderId="0" xfId="0"/>
    <xf numFmtId="0" fontId="15" fillId="2" borderId="0" xfId="0" applyFont="1" applyFill="1" applyProtection="1"/>
    <xf numFmtId="0" fontId="16" fillId="2" borderId="0" xfId="0" applyFont="1" applyFill="1" applyProtection="1"/>
    <xf numFmtId="0" fontId="15" fillId="2" borderId="0" xfId="0" applyFont="1" applyFill="1"/>
    <xf numFmtId="0" fontId="15" fillId="2" borderId="0" xfId="0" applyFont="1" applyFill="1" applyAlignment="1" applyProtection="1">
      <alignment horizontal="left"/>
    </xf>
    <xf numFmtId="0" fontId="15" fillId="2" borderId="0" xfId="0" applyFont="1" applyFill="1" applyAlignment="1" applyProtection="1">
      <alignment horizontal="right"/>
    </xf>
    <xf numFmtId="165" fontId="15" fillId="2" borderId="0" xfId="0" applyNumberFormat="1" applyFont="1" applyFill="1" applyProtection="1"/>
    <xf numFmtId="0" fontId="15" fillId="2" borderId="0" xfId="0" applyFont="1" applyFill="1" applyAlignment="1" applyProtection="1">
      <alignment horizontal="center"/>
    </xf>
    <xf numFmtId="0" fontId="17" fillId="2" borderId="0" xfId="0" applyFont="1" applyFill="1" applyProtection="1"/>
    <xf numFmtId="0" fontId="15" fillId="3" borderId="2" xfId="0" applyFont="1" applyFill="1" applyBorder="1" applyProtection="1"/>
    <xf numFmtId="0" fontId="15" fillId="3" borderId="3" xfId="0" applyFont="1" applyFill="1" applyBorder="1" applyProtection="1"/>
    <xf numFmtId="0" fontId="20" fillId="3" borderId="3" xfId="0" applyFont="1" applyFill="1" applyBorder="1" applyAlignment="1" applyProtection="1">
      <alignment horizontal="right"/>
    </xf>
    <xf numFmtId="0" fontId="15" fillId="4" borderId="4" xfId="0" applyFont="1" applyFill="1" applyBorder="1" applyProtection="1"/>
    <xf numFmtId="0" fontId="15" fillId="4" borderId="5" xfId="0" applyFont="1" applyFill="1" applyBorder="1" applyProtection="1"/>
    <xf numFmtId="0" fontId="15" fillId="4" borderId="5" xfId="0" applyFont="1" applyFill="1" applyBorder="1" applyAlignment="1" applyProtection="1">
      <alignment horizontal="center"/>
    </xf>
    <xf numFmtId="0" fontId="15" fillId="4" borderId="6" xfId="0" applyFont="1" applyFill="1" applyBorder="1" applyProtection="1"/>
    <xf numFmtId="0" fontId="15" fillId="4" borderId="7" xfId="0" applyFont="1" applyFill="1" applyBorder="1" applyProtection="1"/>
    <xf numFmtId="0" fontId="15" fillId="4" borderId="0" xfId="0" applyFont="1" applyFill="1" applyBorder="1" applyProtection="1"/>
    <xf numFmtId="0" fontId="15" fillId="4" borderId="0" xfId="0" applyFont="1" applyFill="1" applyBorder="1" applyAlignment="1" applyProtection="1">
      <alignment horizontal="center"/>
    </xf>
    <xf numFmtId="0" fontId="15" fillId="4" borderId="8" xfId="0" applyFont="1" applyFill="1" applyBorder="1" applyProtection="1"/>
    <xf numFmtId="0" fontId="15" fillId="4" borderId="0" xfId="0" applyFont="1" applyFill="1" applyBorder="1"/>
    <xf numFmtId="0" fontId="15" fillId="5" borderId="0" xfId="0" applyFont="1" applyFill="1" applyBorder="1" applyProtection="1"/>
    <xf numFmtId="0" fontId="15" fillId="5" borderId="0" xfId="0" applyFont="1" applyFill="1" applyBorder="1" applyAlignment="1" applyProtection="1">
      <alignment horizontal="center"/>
    </xf>
    <xf numFmtId="0" fontId="16" fillId="4" borderId="7" xfId="0" applyFont="1" applyFill="1" applyBorder="1" applyProtection="1"/>
    <xf numFmtId="0" fontId="16" fillId="5" borderId="0" xfId="0" applyFont="1" applyFill="1" applyBorder="1" applyProtection="1"/>
    <xf numFmtId="0" fontId="15" fillId="4" borderId="0" xfId="0" applyFont="1" applyFill="1" applyBorder="1" applyAlignment="1" applyProtection="1">
      <alignment horizontal="center"/>
      <protection locked="0"/>
    </xf>
    <xf numFmtId="0" fontId="15" fillId="5" borderId="0" xfId="0" applyFont="1" applyFill="1" applyBorder="1" applyAlignment="1" applyProtection="1">
      <alignment horizontal="center"/>
      <protection locked="0"/>
    </xf>
    <xf numFmtId="0" fontId="15" fillId="4" borderId="8" xfId="0" applyFont="1" applyFill="1" applyBorder="1"/>
    <xf numFmtId="0" fontId="16" fillId="4" borderId="0" xfId="0" applyFont="1" applyFill="1" applyBorder="1" applyProtection="1"/>
    <xf numFmtId="0" fontId="17" fillId="4" borderId="7" xfId="0" applyFont="1" applyFill="1" applyBorder="1" applyProtection="1"/>
    <xf numFmtId="0" fontId="16" fillId="4" borderId="8" xfId="0" applyFont="1" applyFill="1" applyBorder="1"/>
    <xf numFmtId="0" fontId="15" fillId="2" borderId="0" xfId="0" applyFont="1" applyFill="1" applyBorder="1" applyProtection="1"/>
    <xf numFmtId="0" fontId="17" fillId="4" borderId="8" xfId="0" applyFont="1" applyFill="1" applyBorder="1" applyProtection="1"/>
    <xf numFmtId="166" fontId="15" fillId="4" borderId="0" xfId="0" applyNumberFormat="1" applyFont="1" applyFill="1" applyBorder="1" applyProtection="1"/>
    <xf numFmtId="0" fontId="16" fillId="2" borderId="0" xfId="0" applyFont="1" applyFill="1"/>
    <xf numFmtId="0" fontId="15" fillId="2" borderId="0" xfId="0" applyFont="1" applyFill="1" applyAlignment="1">
      <alignment horizontal="right"/>
    </xf>
    <xf numFmtId="0" fontId="16" fillId="2" borderId="0" xfId="0" applyFont="1" applyFill="1" applyBorder="1" applyProtection="1"/>
    <xf numFmtId="0" fontId="16" fillId="2" borderId="0" xfId="0" applyFont="1" applyFill="1" applyAlignment="1">
      <alignment horizontal="right"/>
    </xf>
    <xf numFmtId="0" fontId="15" fillId="4" borderId="4" xfId="0" applyFont="1" applyFill="1" applyBorder="1"/>
    <xf numFmtId="0" fontId="15" fillId="4" borderId="5" xfId="0" applyFont="1" applyFill="1" applyBorder="1"/>
    <xf numFmtId="0" fontId="15" fillId="4" borderId="6" xfId="0" applyFont="1" applyFill="1" applyBorder="1"/>
    <xf numFmtId="0" fontId="15" fillId="4" borderId="7" xfId="0" applyFont="1" applyFill="1" applyBorder="1"/>
    <xf numFmtId="0" fontId="15" fillId="5" borderId="0" xfId="0" applyFont="1" applyFill="1" applyBorder="1" applyAlignment="1" applyProtection="1">
      <protection locked="0"/>
    </xf>
    <xf numFmtId="0" fontId="16" fillId="4" borderId="7" xfId="0" applyFont="1" applyFill="1" applyBorder="1"/>
    <xf numFmtId="166" fontId="15" fillId="4" borderId="0" xfId="0" applyNumberFormat="1" applyFont="1" applyFill="1" applyBorder="1"/>
    <xf numFmtId="0" fontId="16" fillId="4" borderId="7" xfId="0" applyFont="1" applyFill="1" applyBorder="1" applyAlignment="1">
      <alignment horizontal="right"/>
    </xf>
    <xf numFmtId="0" fontId="15" fillId="4" borderId="7" xfId="0" applyFont="1" applyFill="1" applyBorder="1" applyAlignment="1">
      <alignment horizontal="right"/>
    </xf>
    <xf numFmtId="0" fontId="12" fillId="3" borderId="2" xfId="0" applyFont="1" applyFill="1" applyBorder="1"/>
    <xf numFmtId="0" fontId="12" fillId="3" borderId="3" xfId="0" applyFont="1" applyFill="1" applyBorder="1"/>
    <xf numFmtId="0" fontId="12" fillId="3" borderId="9" xfId="0" applyFont="1" applyFill="1" applyBorder="1"/>
    <xf numFmtId="0" fontId="29" fillId="2" borderId="0" xfId="0" applyFont="1" applyFill="1" applyProtection="1"/>
    <xf numFmtId="0" fontId="29" fillId="2" borderId="0" xfId="0" applyFont="1" applyFill="1"/>
    <xf numFmtId="0" fontId="29" fillId="4" borderId="7" xfId="0" applyFont="1" applyFill="1" applyBorder="1" applyProtection="1"/>
    <xf numFmtId="0" fontId="29" fillId="4" borderId="0" xfId="0" applyFont="1" applyFill="1" applyBorder="1" applyProtection="1"/>
    <xf numFmtId="0" fontId="29" fillId="4" borderId="8" xfId="0" applyFont="1" applyFill="1" applyBorder="1" applyProtection="1"/>
    <xf numFmtId="0" fontId="29" fillId="4" borderId="0" xfId="0" applyFont="1" applyFill="1" applyBorder="1" applyAlignment="1" applyProtection="1">
      <alignment horizontal="center"/>
    </xf>
    <xf numFmtId="0" fontId="15" fillId="3" borderId="3" xfId="0" applyFont="1" applyFill="1" applyBorder="1" applyAlignment="1" applyProtection="1">
      <alignment horizontal="center"/>
    </xf>
    <xf numFmtId="0" fontId="15" fillId="4" borderId="0" xfId="0" applyFont="1" applyFill="1" applyBorder="1" applyAlignment="1" applyProtection="1">
      <protection locked="0"/>
    </xf>
    <xf numFmtId="0" fontId="12" fillId="3" borderId="2" xfId="0" applyFont="1" applyFill="1" applyBorder="1" applyProtection="1"/>
    <xf numFmtId="0" fontId="12" fillId="3" borderId="3" xfId="0" applyFont="1" applyFill="1" applyBorder="1" applyProtection="1"/>
    <xf numFmtId="0" fontId="30" fillId="4" borderId="0" xfId="0" applyFont="1" applyFill="1" applyBorder="1" applyProtection="1"/>
    <xf numFmtId="0" fontId="30" fillId="4" borderId="0" xfId="0" applyFont="1" applyFill="1" applyBorder="1" applyAlignment="1" applyProtection="1">
      <alignment horizontal="left"/>
    </xf>
    <xf numFmtId="0" fontId="30" fillId="4" borderId="0" xfId="0" applyFont="1" applyFill="1" applyBorder="1" applyAlignment="1" applyProtection="1">
      <alignment horizontal="center"/>
    </xf>
    <xf numFmtId="0" fontId="30" fillId="4" borderId="7" xfId="0" applyFont="1" applyFill="1" applyBorder="1"/>
    <xf numFmtId="0" fontId="30" fillId="4" borderId="0" xfId="0" applyFont="1" applyFill="1" applyBorder="1"/>
    <xf numFmtId="0" fontId="30" fillId="4" borderId="8" xfId="0" applyFont="1" applyFill="1" applyBorder="1"/>
    <xf numFmtId="0" fontId="30" fillId="2" borderId="0" xfId="0" applyFont="1" applyFill="1"/>
    <xf numFmtId="0" fontId="31" fillId="4" borderId="7" xfId="0" applyFont="1" applyFill="1" applyBorder="1" applyProtection="1"/>
    <xf numFmtId="0" fontId="31" fillId="4" borderId="0" xfId="0" applyFont="1" applyFill="1" applyBorder="1" applyProtection="1"/>
    <xf numFmtId="0" fontId="31" fillId="4" borderId="8" xfId="0" applyFont="1" applyFill="1" applyBorder="1" applyProtection="1"/>
    <xf numFmtId="0" fontId="31" fillId="2" borderId="0" xfId="0" applyFont="1" applyFill="1" applyProtection="1"/>
    <xf numFmtId="0" fontId="31" fillId="2" borderId="0" xfId="0" applyFont="1" applyFill="1"/>
    <xf numFmtId="0" fontId="17" fillId="4" borderId="0" xfId="0" applyFont="1" applyFill="1" applyBorder="1" applyProtection="1"/>
    <xf numFmtId="0" fontId="17" fillId="2" borderId="0" xfId="0" applyFont="1" applyFill="1" applyAlignment="1" applyProtection="1">
      <alignment horizontal="left"/>
    </xf>
    <xf numFmtId="165" fontId="15" fillId="2" borderId="0" xfId="3" applyNumberFormat="1" applyFont="1" applyFill="1" applyProtection="1"/>
    <xf numFmtId="165" fontId="15" fillId="2" borderId="0" xfId="3" applyNumberFormat="1" applyFont="1" applyFill="1" applyAlignment="1" applyProtection="1">
      <alignment horizontal="center"/>
    </xf>
    <xf numFmtId="165" fontId="15" fillId="2" borderId="0" xfId="3" applyNumberFormat="1" applyFont="1" applyFill="1"/>
    <xf numFmtId="166" fontId="15" fillId="4" borderId="8" xfId="0" applyNumberFormat="1" applyFont="1" applyFill="1" applyBorder="1" applyProtection="1"/>
    <xf numFmtId="166" fontId="16" fillId="4" borderId="8" xfId="0" applyNumberFormat="1" applyFont="1" applyFill="1" applyBorder="1" applyProtection="1"/>
    <xf numFmtId="166" fontId="13" fillId="3" borderId="3" xfId="0" applyNumberFormat="1" applyFont="1" applyFill="1" applyBorder="1" applyAlignment="1" applyProtection="1">
      <alignment horizontal="right"/>
    </xf>
    <xf numFmtId="166" fontId="12" fillId="3" borderId="9" xfId="0" applyNumberFormat="1" applyFont="1" applyFill="1" applyBorder="1" applyProtection="1"/>
    <xf numFmtId="166" fontId="15" fillId="2" borderId="0" xfId="0" applyNumberFormat="1" applyFont="1" applyFill="1" applyProtection="1"/>
    <xf numFmtId="166" fontId="20" fillId="3" borderId="3" xfId="0" applyNumberFormat="1" applyFont="1" applyFill="1" applyBorder="1" applyAlignment="1" applyProtection="1">
      <alignment horizontal="right"/>
    </xf>
    <xf numFmtId="166" fontId="15" fillId="3" borderId="9" xfId="0" applyNumberFormat="1" applyFont="1" applyFill="1" applyBorder="1" applyProtection="1"/>
    <xf numFmtId="166" fontId="12" fillId="3" borderId="3" xfId="0" applyNumberFormat="1" applyFont="1" applyFill="1" applyBorder="1"/>
    <xf numFmtId="166" fontId="15" fillId="2" borderId="0" xfId="0" applyNumberFormat="1" applyFont="1" applyFill="1"/>
    <xf numFmtId="166" fontId="15" fillId="2" borderId="0" xfId="3" applyNumberFormat="1" applyFont="1" applyFill="1" applyProtection="1"/>
    <xf numFmtId="166" fontId="19" fillId="2" borderId="0" xfId="3" applyNumberFormat="1" applyFont="1" applyFill="1" applyProtection="1"/>
    <xf numFmtId="166" fontId="15" fillId="2" borderId="0" xfId="3" applyNumberFormat="1" applyFont="1" applyFill="1" applyAlignment="1" applyProtection="1">
      <alignment horizontal="center"/>
    </xf>
    <xf numFmtId="166" fontId="19" fillId="2" borderId="0" xfId="3" applyNumberFormat="1" applyFont="1" applyFill="1" applyAlignment="1" applyProtection="1">
      <alignment horizontal="center"/>
    </xf>
    <xf numFmtId="166" fontId="15" fillId="2" borderId="0" xfId="3" applyNumberFormat="1" applyFont="1" applyFill="1"/>
    <xf numFmtId="166" fontId="19" fillId="2" borderId="0" xfId="3" applyNumberFormat="1" applyFont="1" applyFill="1"/>
    <xf numFmtId="166" fontId="19" fillId="2" borderId="0" xfId="0" applyNumberFormat="1" applyFont="1" applyFill="1"/>
    <xf numFmtId="166" fontId="19" fillId="2" borderId="0" xfId="0" applyNumberFormat="1" applyFont="1" applyFill="1" applyProtection="1"/>
    <xf numFmtId="0" fontId="23" fillId="2" borderId="0" xfId="0" applyFont="1" applyFill="1" applyBorder="1" applyAlignment="1" applyProtection="1">
      <alignment horizontal="left"/>
    </xf>
    <xf numFmtId="49" fontId="23" fillId="2" borderId="0" xfId="0" applyNumberFormat="1" applyFont="1" applyFill="1" applyBorder="1" applyAlignment="1" applyProtection="1">
      <alignment horizontal="left"/>
    </xf>
    <xf numFmtId="0" fontId="11" fillId="4" borderId="5" xfId="0" applyFont="1" applyFill="1" applyBorder="1"/>
    <xf numFmtId="0" fontId="11" fillId="4" borderId="0" xfId="0" applyFont="1" applyFill="1" applyBorder="1"/>
    <xf numFmtId="0" fontId="38" fillId="4" borderId="0" xfId="0" applyFont="1" applyFill="1" applyBorder="1"/>
    <xf numFmtId="166" fontId="11" fillId="4" borderId="0" xfId="0" applyNumberFormat="1" applyFont="1" applyFill="1" applyBorder="1"/>
    <xf numFmtId="0" fontId="11" fillId="2" borderId="0" xfId="0" applyFont="1" applyFill="1"/>
    <xf numFmtId="0" fontId="12" fillId="2" borderId="0" xfId="0" applyFont="1" applyFill="1" applyBorder="1" applyProtection="1"/>
    <xf numFmtId="166" fontId="12" fillId="2" borderId="0" xfId="0" applyNumberFormat="1" applyFont="1" applyFill="1" applyBorder="1" applyProtection="1"/>
    <xf numFmtId="166" fontId="13" fillId="2" borderId="0" xfId="0" applyNumberFormat="1" applyFont="1" applyFill="1" applyBorder="1" applyAlignment="1" applyProtection="1">
      <alignment horizontal="right"/>
    </xf>
    <xf numFmtId="0" fontId="22" fillId="4" borderId="0" xfId="0" applyFont="1" applyFill="1" applyBorder="1" applyAlignment="1" applyProtection="1">
      <alignment horizontal="center"/>
    </xf>
    <xf numFmtId="0" fontId="22" fillId="4" borderId="0" xfId="0" applyFont="1" applyFill="1" applyBorder="1" applyAlignment="1" applyProtection="1">
      <alignment horizontal="right"/>
    </xf>
    <xf numFmtId="0" fontId="15" fillId="5" borderId="10" xfId="0" applyFont="1" applyFill="1" applyBorder="1" applyProtection="1"/>
    <xf numFmtId="0" fontId="15" fillId="5" borderId="11" xfId="0" applyFont="1" applyFill="1" applyBorder="1" applyProtection="1"/>
    <xf numFmtId="0" fontId="15" fillId="5" borderId="11" xfId="0" applyFont="1" applyFill="1" applyBorder="1" applyAlignment="1" applyProtection="1">
      <alignment horizontal="center"/>
    </xf>
    <xf numFmtId="0" fontId="15" fillId="5" borderId="11" xfId="0" applyFont="1" applyFill="1" applyBorder="1"/>
    <xf numFmtId="0" fontId="15" fillId="5" borderId="12" xfId="0" applyFont="1" applyFill="1" applyBorder="1" applyProtection="1"/>
    <xf numFmtId="0" fontId="15" fillId="5" borderId="13" xfId="0" applyFont="1" applyFill="1" applyBorder="1" applyProtection="1"/>
    <xf numFmtId="0" fontId="18" fillId="5" borderId="14" xfId="0" applyFont="1" applyFill="1" applyBorder="1" applyProtection="1"/>
    <xf numFmtId="0" fontId="15" fillId="5" borderId="14" xfId="0" applyFont="1" applyFill="1" applyBorder="1" applyAlignment="1" applyProtection="1">
      <alignment horizontal="center"/>
    </xf>
    <xf numFmtId="0" fontId="15" fillId="5" borderId="14" xfId="0" applyFont="1" applyFill="1" applyBorder="1" applyProtection="1"/>
    <xf numFmtId="0" fontId="15" fillId="5" borderId="14" xfId="0" applyFont="1" applyFill="1" applyBorder="1"/>
    <xf numFmtId="0" fontId="15" fillId="5" borderId="15" xfId="0" applyFont="1" applyFill="1" applyBorder="1" applyProtection="1"/>
    <xf numFmtId="0" fontId="16" fillId="5" borderId="13" xfId="0" applyFont="1" applyFill="1" applyBorder="1" applyProtection="1"/>
    <xf numFmtId="0" fontId="15" fillId="4" borderId="14" xfId="0" applyFont="1" applyFill="1" applyBorder="1" applyAlignment="1" applyProtection="1">
      <alignment horizontal="center"/>
      <protection locked="0"/>
    </xf>
    <xf numFmtId="0" fontId="15" fillId="5" borderId="14" xfId="0" applyFont="1" applyFill="1" applyBorder="1" applyProtection="1">
      <protection locked="0"/>
    </xf>
    <xf numFmtId="0" fontId="16" fillId="5" borderId="14" xfId="0" applyFont="1" applyFill="1" applyBorder="1" applyProtection="1"/>
    <xf numFmtId="171" fontId="15" fillId="4" borderId="14" xfId="0" applyNumberFormat="1" applyFont="1" applyFill="1" applyBorder="1" applyProtection="1">
      <protection locked="0"/>
    </xf>
    <xf numFmtId="171" fontId="15" fillId="5" borderId="14" xfId="0" applyNumberFormat="1" applyFont="1" applyFill="1" applyBorder="1" applyProtection="1">
      <protection locked="0"/>
    </xf>
    <xf numFmtId="0" fontId="15" fillId="4" borderId="14" xfId="0" applyFont="1" applyFill="1" applyBorder="1" applyAlignment="1" applyProtection="1">
      <alignment horizontal="left"/>
      <protection locked="0"/>
    </xf>
    <xf numFmtId="0" fontId="15" fillId="5" borderId="14" xfId="0" applyFont="1" applyFill="1" applyBorder="1" applyAlignment="1" applyProtection="1">
      <alignment horizontal="center"/>
      <protection locked="0"/>
    </xf>
    <xf numFmtId="166" fontId="15" fillId="5" borderId="14" xfId="0" applyNumberFormat="1" applyFont="1" applyFill="1" applyBorder="1" applyProtection="1"/>
    <xf numFmtId="0" fontId="15" fillId="5" borderId="14" xfId="0" applyFont="1" applyFill="1" applyBorder="1" applyAlignment="1">
      <alignment horizontal="left"/>
    </xf>
    <xf numFmtId="0" fontId="15" fillId="5" borderId="14" xfId="0" applyFont="1" applyFill="1" applyBorder="1" applyAlignment="1">
      <alignment horizontal="center"/>
    </xf>
    <xf numFmtId="0" fontId="15" fillId="5" borderId="16" xfId="0" applyFont="1" applyFill="1" applyBorder="1" applyProtection="1"/>
    <xf numFmtId="0" fontId="15" fillId="5" borderId="17" xfId="0" applyFont="1" applyFill="1" applyBorder="1" applyProtection="1"/>
    <xf numFmtId="0" fontId="15" fillId="5" borderId="17" xfId="0" applyFont="1" applyFill="1" applyBorder="1" applyAlignment="1" applyProtection="1">
      <alignment horizontal="center"/>
    </xf>
    <xf numFmtId="0" fontId="15" fillId="5" borderId="18" xfId="0" applyFont="1" applyFill="1" applyBorder="1" applyProtection="1"/>
    <xf numFmtId="0" fontId="16" fillId="5" borderId="11" xfId="0" applyFont="1" applyFill="1" applyBorder="1" applyProtection="1"/>
    <xf numFmtId="0" fontId="15" fillId="5" borderId="10" xfId="0" applyFont="1" applyFill="1" applyBorder="1"/>
    <xf numFmtId="0" fontId="11" fillId="5" borderId="12" xfId="0" applyFont="1" applyFill="1" applyBorder="1"/>
    <xf numFmtId="0" fontId="15" fillId="5" borderId="13" xfId="0" applyFont="1" applyFill="1" applyBorder="1"/>
    <xf numFmtId="0" fontId="18" fillId="5" borderId="14" xfId="0" applyFont="1" applyFill="1" applyBorder="1"/>
    <xf numFmtId="0" fontId="11" fillId="5" borderId="15" xfId="0" applyFont="1" applyFill="1" applyBorder="1"/>
    <xf numFmtId="0" fontId="15" fillId="4" borderId="14" xfId="0" applyFont="1" applyFill="1" applyBorder="1" applyAlignment="1" applyProtection="1">
      <protection locked="0"/>
    </xf>
    <xf numFmtId="0" fontId="15" fillId="5" borderId="14" xfId="0" applyFont="1" applyFill="1" applyBorder="1" applyAlignment="1" applyProtection="1">
      <protection locked="0"/>
    </xf>
    <xf numFmtId="0" fontId="15" fillId="5" borderId="14" xfId="0" applyFont="1" applyFill="1" applyBorder="1" applyAlignment="1" applyProtection="1">
      <alignment horizontal="left"/>
      <protection locked="0"/>
    </xf>
    <xf numFmtId="0" fontId="16" fillId="5" borderId="13" xfId="0" applyFont="1" applyFill="1" applyBorder="1"/>
    <xf numFmtId="0" fontId="16" fillId="5" borderId="14" xfId="0" applyFont="1" applyFill="1" applyBorder="1"/>
    <xf numFmtId="0" fontId="14" fillId="5" borderId="15" xfId="0" applyFont="1" applyFill="1" applyBorder="1"/>
    <xf numFmtId="0" fontId="15" fillId="5" borderId="14" xfId="0" applyFont="1" applyFill="1" applyBorder="1" applyAlignment="1">
      <alignment horizontal="right"/>
    </xf>
    <xf numFmtId="166" fontId="15" fillId="5" borderId="14" xfId="0" applyNumberFormat="1" applyFont="1" applyFill="1" applyBorder="1" applyAlignment="1">
      <alignment horizontal="center"/>
    </xf>
    <xf numFmtId="166" fontId="15" fillId="6" borderId="14" xfId="0" applyNumberFormat="1" applyFont="1" applyFill="1" applyBorder="1" applyAlignment="1">
      <alignment horizontal="center"/>
    </xf>
    <xf numFmtId="166" fontId="15" fillId="5" borderId="14" xfId="0" applyNumberFormat="1" applyFont="1" applyFill="1" applyBorder="1" applyAlignment="1">
      <alignment horizontal="right"/>
    </xf>
    <xf numFmtId="166" fontId="15" fillId="6" borderId="14" xfId="0" applyNumberFormat="1" applyFont="1" applyFill="1" applyBorder="1" applyAlignment="1">
      <alignment horizontal="right"/>
    </xf>
    <xf numFmtId="0" fontId="15" fillId="5" borderId="16" xfId="0" applyFont="1" applyFill="1" applyBorder="1"/>
    <xf numFmtId="0" fontId="15" fillId="5" borderId="17" xfId="0" applyFont="1" applyFill="1" applyBorder="1"/>
    <xf numFmtId="166" fontId="15" fillId="5" borderId="17" xfId="0" applyNumberFormat="1" applyFont="1" applyFill="1" applyBorder="1" applyAlignment="1">
      <alignment horizontal="right"/>
    </xf>
    <xf numFmtId="0" fontId="11" fillId="5" borderId="18" xfId="0" applyFont="1" applyFill="1" applyBorder="1"/>
    <xf numFmtId="0" fontId="25" fillId="5" borderId="14" xfId="0" applyFont="1" applyFill="1" applyBorder="1" applyAlignment="1">
      <alignment horizontal="center"/>
    </xf>
    <xf numFmtId="0" fontId="16" fillId="5" borderId="14" xfId="0" applyFont="1" applyFill="1" applyBorder="1" applyAlignment="1">
      <alignment horizontal="center"/>
    </xf>
    <xf numFmtId="0" fontId="14" fillId="5" borderId="15" xfId="0" applyFont="1" applyFill="1" applyBorder="1" applyAlignment="1">
      <alignment horizontal="center"/>
    </xf>
    <xf numFmtId="0" fontId="17" fillId="5" borderId="14" xfId="0" applyFont="1" applyFill="1" applyBorder="1"/>
    <xf numFmtId="0" fontId="17" fillId="5" borderId="14" xfId="0" applyFont="1" applyFill="1" applyBorder="1" applyAlignment="1">
      <alignment horizontal="center"/>
    </xf>
    <xf numFmtId="0" fontId="11" fillId="5" borderId="15" xfId="0" applyFont="1" applyFill="1" applyBorder="1" applyAlignment="1">
      <alignment horizontal="center"/>
    </xf>
    <xf numFmtId="0" fontId="15" fillId="6" borderId="14" xfId="0" applyFont="1" applyFill="1" applyBorder="1" applyAlignment="1">
      <alignment horizontal="center"/>
    </xf>
    <xf numFmtId="176" fontId="15" fillId="6" borderId="14" xfId="0" applyNumberFormat="1" applyFont="1" applyFill="1" applyBorder="1" applyAlignment="1">
      <alignment horizontal="center"/>
    </xf>
    <xf numFmtId="1" fontId="15" fillId="4" borderId="14" xfId="0" applyNumberFormat="1" applyFont="1" applyFill="1" applyBorder="1" applyAlignment="1" applyProtection="1">
      <alignment horizontal="center"/>
      <protection locked="0"/>
    </xf>
    <xf numFmtId="10" fontId="15" fillId="5" borderId="14" xfId="0" applyNumberFormat="1" applyFont="1" applyFill="1" applyBorder="1" applyAlignment="1">
      <alignment horizontal="center"/>
    </xf>
    <xf numFmtId="10" fontId="15" fillId="6" borderId="14" xfId="0" applyNumberFormat="1" applyFont="1" applyFill="1" applyBorder="1" applyAlignment="1">
      <alignment horizontal="center"/>
    </xf>
    <xf numFmtId="0" fontId="26" fillId="5" borderId="14" xfId="0" applyFont="1" applyFill="1" applyBorder="1" applyAlignment="1">
      <alignment horizontal="center"/>
    </xf>
    <xf numFmtId="0" fontId="11" fillId="5" borderId="15" xfId="0" applyFont="1" applyFill="1" applyBorder="1" applyAlignment="1" applyProtection="1">
      <alignment horizontal="center"/>
    </xf>
    <xf numFmtId="171" fontId="15" fillId="5" borderId="14" xfId="0" applyNumberFormat="1" applyFont="1" applyFill="1" applyBorder="1" applyAlignment="1">
      <alignment horizontal="center"/>
    </xf>
    <xf numFmtId="166" fontId="15" fillId="5" borderId="14" xfId="0" applyNumberFormat="1" applyFont="1" applyFill="1" applyBorder="1" applyAlignment="1" applyProtection="1">
      <alignment horizontal="center"/>
    </xf>
    <xf numFmtId="0" fontId="39" fillId="5" borderId="15" xfId="0" applyFont="1" applyFill="1" applyBorder="1" applyAlignment="1" applyProtection="1">
      <alignment horizontal="center"/>
    </xf>
    <xf numFmtId="166" fontId="15" fillId="6" borderId="14" xfId="0" applyNumberFormat="1" applyFont="1" applyFill="1" applyBorder="1" applyAlignment="1" applyProtection="1">
      <alignment horizontal="center"/>
    </xf>
    <xf numFmtId="166" fontId="39" fillId="5" borderId="15" xfId="0" applyNumberFormat="1" applyFont="1" applyFill="1" applyBorder="1" applyAlignment="1" applyProtection="1">
      <alignment horizontal="center"/>
    </xf>
    <xf numFmtId="166" fontId="39" fillId="5" borderId="15" xfId="0" applyNumberFormat="1" applyFont="1" applyFill="1" applyBorder="1" applyAlignment="1">
      <alignment horizontal="center"/>
    </xf>
    <xf numFmtId="0" fontId="39" fillId="5" borderId="15" xfId="0" applyFont="1" applyFill="1" applyBorder="1" applyAlignment="1">
      <alignment horizontal="center"/>
    </xf>
    <xf numFmtId="10" fontId="16" fillId="5" borderId="14" xfId="0" applyNumberFormat="1" applyFont="1" applyFill="1" applyBorder="1" applyAlignment="1">
      <alignment horizontal="center"/>
    </xf>
    <xf numFmtId="166" fontId="16" fillId="2" borderId="14" xfId="0" applyNumberFormat="1" applyFont="1" applyFill="1" applyBorder="1" applyAlignment="1">
      <alignment horizontal="center"/>
    </xf>
    <xf numFmtId="0" fontId="37" fillId="5" borderId="15" xfId="0" applyFont="1" applyFill="1" applyBorder="1" applyAlignment="1">
      <alignment horizontal="center"/>
    </xf>
    <xf numFmtId="0" fontId="19" fillId="5" borderId="14" xfId="0" applyFont="1" applyFill="1" applyBorder="1"/>
    <xf numFmtId="0" fontId="19" fillId="5" borderId="14" xfId="0" applyFont="1" applyFill="1" applyBorder="1" applyAlignment="1">
      <alignment horizontal="center"/>
    </xf>
    <xf numFmtId="166" fontId="19" fillId="6" borderId="14" xfId="0" applyNumberFormat="1" applyFont="1" applyFill="1" applyBorder="1" applyAlignment="1">
      <alignment horizontal="center"/>
    </xf>
    <xf numFmtId="174" fontId="16" fillId="5" borderId="14" xfId="0" applyNumberFormat="1" applyFont="1" applyFill="1" applyBorder="1" applyAlignment="1" applyProtection="1">
      <alignment horizontal="center"/>
      <protection locked="0"/>
    </xf>
    <xf numFmtId="0" fontId="39" fillId="5" borderId="14" xfId="0" applyFont="1" applyFill="1" applyBorder="1"/>
    <xf numFmtId="166" fontId="39" fillId="5" borderId="14" xfId="0" applyNumberFormat="1" applyFont="1" applyFill="1" applyBorder="1" applyAlignment="1">
      <alignment horizontal="center"/>
    </xf>
    <xf numFmtId="166" fontId="11" fillId="5" borderId="15" xfId="0" applyNumberFormat="1" applyFont="1" applyFill="1" applyBorder="1"/>
    <xf numFmtId="166" fontId="27" fillId="5" borderId="17" xfId="0" applyNumberFormat="1" applyFont="1" applyFill="1" applyBorder="1" applyAlignment="1">
      <alignment horizontal="center"/>
    </xf>
    <xf numFmtId="166" fontId="11" fillId="5" borderId="18" xfId="0" applyNumberFormat="1" applyFont="1" applyFill="1" applyBorder="1"/>
    <xf numFmtId="0" fontId="15" fillId="5" borderId="11" xfId="0" applyFont="1" applyFill="1" applyBorder="1" applyAlignment="1">
      <alignment horizontal="left"/>
    </xf>
    <xf numFmtId="166" fontId="15" fillId="5" borderId="11" xfId="0" applyNumberFormat="1" applyFont="1" applyFill="1" applyBorder="1" applyAlignment="1">
      <alignment horizontal="left"/>
    </xf>
    <xf numFmtId="166" fontId="11" fillId="5" borderId="12" xfId="0" applyNumberFormat="1" applyFont="1" applyFill="1" applyBorder="1" applyAlignment="1">
      <alignment horizontal="left"/>
    </xf>
    <xf numFmtId="167" fontId="15" fillId="4" borderId="14" xfId="0" applyNumberFormat="1" applyFont="1" applyFill="1" applyBorder="1" applyAlignment="1" applyProtection="1">
      <alignment horizontal="center"/>
      <protection locked="0"/>
    </xf>
    <xf numFmtId="166" fontId="11" fillId="5" borderId="15" xfId="0" applyNumberFormat="1" applyFont="1" applyFill="1" applyBorder="1" applyAlignment="1">
      <alignment horizontal="left"/>
    </xf>
    <xf numFmtId="164" fontId="15" fillId="5" borderId="14" xfId="0" applyNumberFormat="1" applyFont="1" applyFill="1" applyBorder="1" applyAlignment="1" applyProtection="1">
      <alignment horizontal="left"/>
      <protection locked="0"/>
    </xf>
    <xf numFmtId="164" fontId="15" fillId="4" borderId="14" xfId="0" applyNumberFormat="1" applyFont="1" applyFill="1" applyBorder="1" applyAlignment="1" applyProtection="1">
      <alignment horizontal="center"/>
      <protection locked="0"/>
    </xf>
    <xf numFmtId="166" fontId="15" fillId="5" borderId="14" xfId="0" applyNumberFormat="1" applyFont="1" applyFill="1" applyBorder="1" applyAlignment="1">
      <alignment horizontal="left"/>
    </xf>
    <xf numFmtId="0" fontId="15" fillId="5" borderId="17" xfId="0" applyFont="1" applyFill="1" applyBorder="1" applyAlignment="1">
      <alignment horizontal="left"/>
    </xf>
    <xf numFmtId="166" fontId="15" fillId="5" borderId="17" xfId="0" applyNumberFormat="1" applyFont="1" applyFill="1" applyBorder="1" applyAlignment="1">
      <alignment horizontal="left"/>
    </xf>
    <xf numFmtId="166" fontId="11" fillId="5" borderId="18" xfId="0" applyNumberFormat="1" applyFont="1" applyFill="1" applyBorder="1" applyAlignment="1">
      <alignment horizontal="left"/>
    </xf>
    <xf numFmtId="166" fontId="15" fillId="5" borderId="11" xfId="0" applyNumberFormat="1" applyFont="1" applyFill="1" applyBorder="1"/>
    <xf numFmtId="0" fontId="16" fillId="5" borderId="13" xfId="0" applyFont="1" applyFill="1" applyBorder="1" applyAlignment="1">
      <alignment horizontal="right"/>
    </xf>
    <xf numFmtId="0" fontId="15" fillId="5" borderId="13" xfId="0" applyFont="1" applyFill="1" applyBorder="1" applyAlignment="1">
      <alignment horizontal="right"/>
    </xf>
    <xf numFmtId="166" fontId="15" fillId="5" borderId="14" xfId="0" applyNumberFormat="1" applyFont="1" applyFill="1" applyBorder="1"/>
    <xf numFmtId="166" fontId="15" fillId="5" borderId="14" xfId="0" applyNumberFormat="1" applyFont="1" applyFill="1" applyBorder="1" applyAlignment="1" applyProtection="1">
      <protection locked="0"/>
    </xf>
    <xf numFmtId="3" fontId="15" fillId="5" borderId="14" xfId="0" applyNumberFormat="1" applyFont="1" applyFill="1" applyBorder="1" applyProtection="1">
      <protection locked="0"/>
    </xf>
    <xf numFmtId="3" fontId="15" fillId="4" borderId="14" xfId="0" applyNumberFormat="1" applyFont="1" applyFill="1" applyBorder="1" applyAlignment="1" applyProtection="1">
      <alignment horizontal="center"/>
      <protection locked="0"/>
    </xf>
    <xf numFmtId="166" fontId="22" fillId="5" borderId="14" xfId="0" applyNumberFormat="1" applyFont="1" applyFill="1" applyBorder="1"/>
    <xf numFmtId="0" fontId="28" fillId="5" borderId="14" xfId="0" applyFont="1" applyFill="1" applyBorder="1"/>
    <xf numFmtId="174" fontId="15" fillId="5" borderId="14" xfId="0" applyNumberFormat="1" applyFont="1" applyFill="1" applyBorder="1" applyProtection="1">
      <protection locked="0"/>
    </xf>
    <xf numFmtId="174" fontId="15" fillId="4" borderId="14" xfId="0" applyNumberFormat="1" applyFont="1" applyFill="1" applyBorder="1" applyAlignment="1" applyProtection="1">
      <alignment horizontal="center"/>
      <protection locked="0"/>
    </xf>
    <xf numFmtId="174" fontId="15" fillId="6" borderId="14" xfId="0" applyNumberFormat="1" applyFont="1" applyFill="1" applyBorder="1" applyAlignment="1" applyProtection="1">
      <alignment horizontal="center"/>
      <protection locked="0"/>
    </xf>
    <xf numFmtId="0" fontId="15" fillId="6" borderId="14" xfId="0" applyFont="1" applyFill="1" applyBorder="1" applyAlignment="1" applyProtection="1">
      <alignment horizontal="center"/>
      <protection locked="0"/>
    </xf>
    <xf numFmtId="3" fontId="15" fillId="5" borderId="14" xfId="0" applyNumberFormat="1" applyFont="1" applyFill="1" applyBorder="1"/>
    <xf numFmtId="3" fontId="15" fillId="6" borderId="14" xfId="0" applyNumberFormat="1" applyFont="1" applyFill="1" applyBorder="1" applyAlignment="1">
      <alignment horizontal="center"/>
    </xf>
    <xf numFmtId="165" fontId="15" fillId="5" borderId="14" xfId="0" applyNumberFormat="1" applyFont="1" applyFill="1" applyBorder="1" applyProtection="1">
      <protection locked="0"/>
    </xf>
    <xf numFmtId="165" fontId="15" fillId="6" borderId="14" xfId="0" applyNumberFormat="1" applyFont="1" applyFill="1" applyBorder="1" applyAlignment="1" applyProtection="1">
      <alignment horizontal="center"/>
      <protection locked="0"/>
    </xf>
    <xf numFmtId="165" fontId="16" fillId="5" borderId="14" xfId="0" applyNumberFormat="1" applyFont="1" applyFill="1" applyBorder="1"/>
    <xf numFmtId="165" fontId="16" fillId="2" borderId="14" xfId="0" applyNumberFormat="1" applyFont="1" applyFill="1" applyBorder="1" applyAlignment="1">
      <alignment horizontal="center"/>
    </xf>
    <xf numFmtId="166" fontId="27" fillId="5" borderId="14" xfId="0" applyNumberFormat="1" applyFont="1" applyFill="1" applyBorder="1"/>
    <xf numFmtId="0" fontId="33" fillId="5" borderId="14" xfId="0" applyFont="1" applyFill="1" applyBorder="1"/>
    <xf numFmtId="166" fontId="15" fillId="5" borderId="17" xfId="0" applyNumberFormat="1" applyFont="1" applyFill="1" applyBorder="1"/>
    <xf numFmtId="0" fontId="22" fillId="5" borderId="14" xfId="0" applyFont="1" applyFill="1" applyBorder="1" applyAlignment="1" applyProtection="1">
      <alignment horizontal="right"/>
    </xf>
    <xf numFmtId="0" fontId="22" fillId="5" borderId="14" xfId="0" applyFont="1" applyFill="1" applyBorder="1" applyAlignment="1" applyProtection="1">
      <alignment horizontal="center"/>
    </xf>
    <xf numFmtId="171" fontId="15" fillId="4" borderId="14" xfId="0" applyNumberFormat="1" applyFont="1" applyFill="1" applyBorder="1" applyAlignment="1" applyProtection="1">
      <alignment horizontal="center"/>
      <protection locked="0"/>
    </xf>
    <xf numFmtId="0" fontId="15" fillId="5" borderId="15" xfId="0" applyFont="1" applyFill="1" applyBorder="1"/>
    <xf numFmtId="0" fontId="15" fillId="5" borderId="18" xfId="0" applyFont="1" applyFill="1" applyBorder="1"/>
    <xf numFmtId="0" fontId="15" fillId="5" borderId="12" xfId="0" applyFont="1" applyFill="1" applyBorder="1"/>
    <xf numFmtId="0" fontId="15" fillId="6" borderId="14" xfId="0" applyFont="1" applyFill="1" applyBorder="1" applyAlignment="1" applyProtection="1">
      <alignment horizontal="center"/>
    </xf>
    <xf numFmtId="165" fontId="15" fillId="6" borderId="14" xfId="0" applyNumberFormat="1" applyFont="1" applyFill="1" applyBorder="1" applyAlignment="1" applyProtection="1">
      <alignment horizontal="center"/>
    </xf>
    <xf numFmtId="165" fontId="15" fillId="5" borderId="14" xfId="0" applyNumberFormat="1" applyFont="1" applyFill="1" applyBorder="1" applyAlignment="1" applyProtection="1">
      <alignment horizontal="center"/>
    </xf>
    <xf numFmtId="165" fontId="16" fillId="2" borderId="14" xfId="0" applyNumberFormat="1" applyFont="1" applyFill="1" applyBorder="1" applyAlignment="1" applyProtection="1">
      <alignment horizontal="center"/>
    </xf>
    <xf numFmtId="0" fontId="16" fillId="5" borderId="14" xfId="0" applyFont="1" applyFill="1" applyBorder="1" applyAlignment="1" applyProtection="1">
      <protection locked="0"/>
    </xf>
    <xf numFmtId="3" fontId="15" fillId="4" borderId="14" xfId="0" applyNumberFormat="1" applyFont="1" applyFill="1" applyBorder="1" applyAlignment="1">
      <alignment horizontal="center"/>
    </xf>
    <xf numFmtId="10" fontId="15" fillId="4" borderId="14" xfId="0" applyNumberFormat="1" applyFont="1" applyFill="1" applyBorder="1" applyAlignment="1" applyProtection="1">
      <alignment horizontal="center"/>
      <protection locked="0"/>
    </xf>
    <xf numFmtId="166" fontId="15" fillId="5" borderId="15" xfId="0" applyNumberFormat="1" applyFont="1" applyFill="1" applyBorder="1"/>
    <xf numFmtId="165" fontId="15" fillId="4" borderId="14" xfId="0" applyNumberFormat="1" applyFont="1" applyFill="1" applyBorder="1" applyAlignment="1" applyProtection="1">
      <alignment horizontal="center"/>
      <protection locked="0"/>
    </xf>
    <xf numFmtId="165" fontId="15" fillId="5" borderId="14" xfId="0" applyNumberFormat="1" applyFont="1" applyFill="1" applyBorder="1" applyAlignment="1" applyProtection="1">
      <alignment horizontal="center"/>
      <protection locked="0"/>
    </xf>
    <xf numFmtId="166" fontId="16" fillId="5" borderId="15" xfId="0" applyNumberFormat="1" applyFont="1" applyFill="1" applyBorder="1"/>
    <xf numFmtId="0" fontId="16" fillId="5" borderId="17" xfId="0" applyFont="1" applyFill="1" applyBorder="1"/>
    <xf numFmtId="166" fontId="15" fillId="5" borderId="18" xfId="0" applyNumberFormat="1" applyFont="1" applyFill="1" applyBorder="1"/>
    <xf numFmtId="0" fontId="15" fillId="5" borderId="11" xfId="0" applyFont="1" applyFill="1" applyBorder="1" applyAlignment="1" applyProtection="1">
      <alignment horizontal="center"/>
      <protection locked="0"/>
    </xf>
    <xf numFmtId="0" fontId="15" fillId="5" borderId="11" xfId="0" applyFont="1" applyFill="1" applyBorder="1" applyAlignment="1" applyProtection="1">
      <protection locked="0"/>
    </xf>
    <xf numFmtId="0" fontId="15" fillId="4" borderId="14" xfId="0" applyNumberFormat="1" applyFont="1" applyFill="1" applyBorder="1" applyAlignment="1" applyProtection="1">
      <alignment horizontal="center"/>
      <protection locked="0"/>
    </xf>
    <xf numFmtId="166" fontId="15" fillId="6" borderId="14" xfId="0" applyNumberFormat="1" applyFont="1" applyFill="1" applyBorder="1" applyAlignment="1" applyProtection="1">
      <alignment horizontal="center"/>
      <protection locked="0"/>
    </xf>
    <xf numFmtId="0" fontId="22" fillId="5" borderId="14" xfId="0" applyFont="1" applyFill="1" applyBorder="1" applyAlignment="1">
      <alignment horizontal="right"/>
    </xf>
    <xf numFmtId="0" fontId="22" fillId="5" borderId="14" xfId="0" applyFont="1" applyFill="1" applyBorder="1" applyAlignment="1">
      <alignment horizontal="center"/>
    </xf>
    <xf numFmtId="0" fontId="15" fillId="5" borderId="17" xfId="0" applyFont="1" applyFill="1" applyBorder="1" applyAlignment="1" applyProtection="1">
      <alignment horizontal="center"/>
      <protection locked="0"/>
    </xf>
    <xf numFmtId="0" fontId="22" fillId="5" borderId="17" xfId="0" applyFont="1" applyFill="1" applyBorder="1" applyAlignment="1" applyProtection="1">
      <alignment horizontal="right"/>
    </xf>
    <xf numFmtId="0" fontId="22" fillId="5" borderId="17" xfId="0" applyFont="1" applyFill="1" applyBorder="1" applyAlignment="1" applyProtection="1">
      <alignment horizontal="center"/>
    </xf>
    <xf numFmtId="0" fontId="22" fillId="5" borderId="11" xfId="0" applyFont="1" applyFill="1" applyBorder="1" applyAlignment="1" applyProtection="1">
      <alignment horizontal="right"/>
    </xf>
    <xf numFmtId="0" fontId="22" fillId="5" borderId="11" xfId="0" applyFont="1" applyFill="1" applyBorder="1" applyAlignment="1" applyProtection="1">
      <alignment horizontal="center"/>
    </xf>
    <xf numFmtId="175" fontId="15" fillId="4" borderId="14" xfId="0" applyNumberFormat="1" applyFont="1" applyFill="1" applyBorder="1" applyAlignment="1" applyProtection="1">
      <alignment horizontal="center"/>
      <protection locked="0"/>
    </xf>
    <xf numFmtId="166" fontId="15" fillId="2" borderId="14" xfId="0" applyNumberFormat="1" applyFont="1" applyFill="1" applyBorder="1" applyAlignment="1" applyProtection="1">
      <alignment horizontal="center"/>
    </xf>
    <xf numFmtId="165" fontId="16" fillId="5" borderId="14" xfId="0" applyNumberFormat="1" applyFont="1" applyFill="1" applyBorder="1" applyAlignment="1" applyProtection="1">
      <alignment horizontal="center"/>
    </xf>
    <xf numFmtId="166" fontId="15" fillId="5" borderId="15" xfId="0" applyNumberFormat="1" applyFont="1" applyFill="1" applyBorder="1" applyProtection="1"/>
    <xf numFmtId="166" fontId="16" fillId="5" borderId="15" xfId="0" applyNumberFormat="1" applyFont="1" applyFill="1" applyBorder="1" applyProtection="1"/>
    <xf numFmtId="166" fontId="15" fillId="5" borderId="18" xfId="0" applyNumberFormat="1" applyFont="1" applyFill="1" applyBorder="1" applyProtection="1"/>
    <xf numFmtId="0" fontId="30" fillId="4" borderId="0" xfId="0" applyFont="1" applyFill="1" applyBorder="1" applyAlignment="1">
      <alignment horizontal="left"/>
    </xf>
    <xf numFmtId="0" fontId="31" fillId="2" borderId="0" xfId="0" applyFont="1" applyFill="1" applyBorder="1" applyProtection="1"/>
    <xf numFmtId="0" fontId="29" fillId="2" borderId="0" xfId="0" applyFont="1" applyFill="1" applyBorder="1" applyProtection="1"/>
    <xf numFmtId="0" fontId="15" fillId="2" borderId="0" xfId="0" applyFont="1" applyFill="1" applyBorder="1"/>
    <xf numFmtId="166" fontId="15" fillId="2" borderId="0" xfId="0" applyNumberFormat="1" applyFont="1" applyFill="1" applyBorder="1" applyProtection="1"/>
    <xf numFmtId="166" fontId="16" fillId="2" borderId="0" xfId="0" applyNumberFormat="1" applyFont="1" applyFill="1" applyBorder="1" applyProtection="1"/>
    <xf numFmtId="0" fontId="30" fillId="4" borderId="0" xfId="0" applyFont="1" applyFill="1" applyBorder="1" applyAlignment="1">
      <alignment horizontal="center"/>
    </xf>
    <xf numFmtId="0" fontId="41" fillId="2" borderId="19" xfId="0" applyFont="1" applyFill="1" applyBorder="1" applyProtection="1"/>
    <xf numFmtId="0" fontId="42" fillId="2" borderId="20" xfId="0" applyFont="1" applyFill="1" applyBorder="1" applyProtection="1"/>
    <xf numFmtId="0" fontId="42" fillId="2" borderId="21" xfId="0" applyFont="1" applyFill="1" applyBorder="1" applyProtection="1"/>
    <xf numFmtId="0" fontId="42" fillId="2" borderId="22" xfId="0" applyFont="1" applyFill="1" applyBorder="1" applyProtection="1"/>
    <xf numFmtId="0" fontId="42" fillId="2" borderId="0" xfId="0" applyFont="1" applyFill="1" applyBorder="1" applyProtection="1"/>
    <xf numFmtId="0" fontId="42" fillId="2" borderId="23" xfId="0" applyFont="1" applyFill="1" applyBorder="1" applyProtection="1"/>
    <xf numFmtId="165" fontId="42" fillId="2" borderId="0" xfId="0" applyNumberFormat="1" applyFont="1" applyFill="1" applyBorder="1" applyProtection="1"/>
    <xf numFmtId="0" fontId="42" fillId="2" borderId="24" xfId="0" applyFont="1" applyFill="1" applyBorder="1" applyProtection="1"/>
    <xf numFmtId="0" fontId="42" fillId="2" borderId="25" xfId="0" applyFont="1" applyFill="1" applyBorder="1" applyProtection="1"/>
    <xf numFmtId="165" fontId="42" fillId="2" borderId="25" xfId="0" applyNumberFormat="1" applyFont="1" applyFill="1" applyBorder="1" applyProtection="1"/>
    <xf numFmtId="0" fontId="42" fillId="2" borderId="26" xfId="0" applyFont="1" applyFill="1" applyBorder="1" applyProtection="1"/>
    <xf numFmtId="0" fontId="40" fillId="2" borderId="0" xfId="0" applyFont="1" applyFill="1" applyAlignment="1" applyProtection="1">
      <alignment horizontal="left"/>
    </xf>
    <xf numFmtId="168" fontId="15" fillId="6" borderId="14" xfId="0" applyNumberFormat="1" applyFont="1" applyFill="1" applyBorder="1" applyAlignment="1" applyProtection="1">
      <alignment horizontal="center"/>
    </xf>
    <xf numFmtId="168" fontId="15" fillId="6" borderId="14" xfId="0" applyNumberFormat="1" applyFont="1" applyFill="1" applyBorder="1" applyAlignment="1" applyProtection="1">
      <alignment horizontal="center"/>
      <protection locked="0"/>
    </xf>
    <xf numFmtId="174" fontId="19" fillId="0" borderId="14" xfId="0" applyNumberFormat="1" applyFont="1" applyFill="1" applyBorder="1" applyAlignment="1" applyProtection="1">
      <alignment horizontal="center"/>
      <protection locked="0"/>
    </xf>
    <xf numFmtId="0" fontId="21" fillId="4" borderId="0" xfId="0" applyFont="1" applyFill="1" applyBorder="1" applyProtection="1"/>
    <xf numFmtId="0" fontId="15" fillId="4" borderId="0" xfId="0" applyFont="1" applyFill="1" applyBorder="1" applyAlignment="1" applyProtection="1">
      <alignment horizontal="left"/>
      <protection locked="0"/>
    </xf>
    <xf numFmtId="0" fontId="15" fillId="5" borderId="0" xfId="0" applyFont="1" applyFill="1" applyBorder="1" applyAlignment="1" applyProtection="1">
      <alignment horizontal="left"/>
      <protection locked="0"/>
    </xf>
    <xf numFmtId="0" fontId="8" fillId="2" borderId="0" xfId="0" applyFont="1" applyFill="1" applyProtection="1"/>
    <xf numFmtId="0" fontId="45" fillId="4" borderId="0" xfId="0" applyFont="1" applyFill="1" applyBorder="1" applyAlignment="1" applyProtection="1">
      <alignment horizontal="center"/>
    </xf>
    <xf numFmtId="0" fontId="43" fillId="4" borderId="0" xfId="0" applyFont="1" applyFill="1" applyBorder="1" applyAlignment="1" applyProtection="1">
      <alignment horizontal="left"/>
    </xf>
    <xf numFmtId="0" fontId="46" fillId="7" borderId="0" xfId="0" applyFont="1" applyFill="1" applyBorder="1" applyAlignment="1" applyProtection="1">
      <alignment horizontal="center"/>
    </xf>
    <xf numFmtId="0" fontId="48" fillId="4" borderId="0" xfId="0" applyFont="1" applyFill="1" applyBorder="1" applyAlignment="1" applyProtection="1">
      <alignment horizontal="center"/>
    </xf>
    <xf numFmtId="0" fontId="52" fillId="4" borderId="0" xfId="0" applyFont="1" applyFill="1" applyBorder="1" applyAlignment="1" applyProtection="1">
      <alignment horizontal="left"/>
    </xf>
    <xf numFmtId="0" fontId="52" fillId="4" borderId="0" xfId="0" applyFont="1" applyFill="1" applyBorder="1" applyProtection="1"/>
    <xf numFmtId="0" fontId="43" fillId="4" borderId="1" xfId="0" applyFont="1" applyFill="1" applyBorder="1" applyAlignment="1" applyProtection="1">
      <alignment horizontal="left"/>
      <protection locked="0"/>
    </xf>
    <xf numFmtId="14" fontId="43" fillId="4" borderId="1" xfId="0" applyNumberFormat="1" applyFont="1" applyFill="1" applyBorder="1" applyAlignment="1" applyProtection="1">
      <alignment horizontal="center"/>
      <protection locked="0"/>
    </xf>
    <xf numFmtId="0" fontId="43" fillId="4" borderId="1" xfId="0" applyFont="1" applyFill="1" applyBorder="1" applyAlignment="1" applyProtection="1">
      <alignment horizontal="center"/>
      <protection locked="0"/>
    </xf>
    <xf numFmtId="171" fontId="43" fillId="4" borderId="1" xfId="0" applyNumberFormat="1" applyFont="1" applyFill="1" applyBorder="1" applyAlignment="1" applyProtection="1">
      <alignment horizontal="center"/>
      <protection locked="0"/>
    </xf>
    <xf numFmtId="0" fontId="43" fillId="4" borderId="1" xfId="2" applyNumberFormat="1" applyFont="1" applyFill="1" applyBorder="1" applyAlignment="1" applyProtection="1">
      <alignment horizontal="center"/>
      <protection locked="0"/>
    </xf>
    <xf numFmtId="166" fontId="48" fillId="8" borderId="1" xfId="0" applyNumberFormat="1" applyFont="1" applyFill="1" applyBorder="1" applyAlignment="1" applyProtection="1">
      <alignment horizontal="center"/>
    </xf>
    <xf numFmtId="0" fontId="7" fillId="7" borderId="0" xfId="0" applyFont="1" applyFill="1" applyProtection="1"/>
    <xf numFmtId="0" fontId="7" fillId="7" borderId="0" xfId="0" applyFont="1" applyFill="1" applyAlignment="1" applyProtection="1">
      <alignment horizontal="left"/>
    </xf>
    <xf numFmtId="0" fontId="7" fillId="7" borderId="0" xfId="0" applyFont="1" applyFill="1" applyAlignment="1" applyProtection="1">
      <alignment horizontal="center"/>
    </xf>
    <xf numFmtId="0" fontId="7" fillId="4" borderId="0" xfId="0" applyFont="1" applyFill="1" applyBorder="1" applyProtection="1"/>
    <xf numFmtId="0" fontId="7" fillId="4" borderId="0" xfId="0" applyFont="1" applyFill="1" applyBorder="1" applyAlignment="1" applyProtection="1">
      <alignment horizontal="left"/>
    </xf>
    <xf numFmtId="0" fontId="7" fillId="4" borderId="0" xfId="0" applyFont="1" applyFill="1" applyBorder="1" applyAlignment="1" applyProtection="1">
      <alignment horizontal="center"/>
    </xf>
    <xf numFmtId="0" fontId="19" fillId="4" borderId="0" xfId="0" applyFont="1" applyFill="1" applyBorder="1" applyProtection="1"/>
    <xf numFmtId="14" fontId="7" fillId="4" borderId="0" xfId="0" applyNumberFormat="1" applyFont="1" applyFill="1" applyBorder="1" applyProtection="1"/>
    <xf numFmtId="0" fontId="60" fillId="4" borderId="0" xfId="0" applyFont="1" applyFill="1" applyBorder="1" applyProtection="1"/>
    <xf numFmtId="0" fontId="60" fillId="4" borderId="0" xfId="0" applyFont="1" applyFill="1" applyBorder="1" applyAlignment="1" applyProtection="1">
      <alignment horizontal="left"/>
    </xf>
    <xf numFmtId="0" fontId="60" fillId="4" borderId="0" xfId="0" applyFont="1" applyFill="1" applyBorder="1" applyAlignment="1" applyProtection="1">
      <alignment horizontal="center"/>
    </xf>
    <xf numFmtId="14" fontId="60" fillId="4" borderId="0" xfId="0" applyNumberFormat="1" applyFont="1" applyFill="1" applyBorder="1" applyProtection="1"/>
    <xf numFmtId="0" fontId="60" fillId="7" borderId="0" xfId="0" applyFont="1" applyFill="1" applyProtection="1"/>
    <xf numFmtId="0" fontId="62" fillId="4" borderId="0" xfId="0" applyFont="1" applyFill="1" applyBorder="1" applyProtection="1"/>
    <xf numFmtId="0" fontId="62" fillId="4" borderId="0" xfId="0" applyFont="1" applyFill="1" applyBorder="1" applyAlignment="1" applyProtection="1">
      <alignment horizontal="center"/>
    </xf>
    <xf numFmtId="0" fontId="62" fillId="4" borderId="0" xfId="0" applyFont="1" applyFill="1" applyBorder="1" applyAlignment="1" applyProtection="1">
      <alignment horizontal="left"/>
    </xf>
    <xf numFmtId="0" fontId="62" fillId="7" borderId="0" xfId="0" applyFont="1" applyFill="1" applyProtection="1"/>
    <xf numFmtId="0" fontId="43" fillId="4" borderId="0" xfId="0" applyFont="1" applyFill="1" applyBorder="1" applyAlignment="1" applyProtection="1">
      <alignment horizontal="center"/>
    </xf>
    <xf numFmtId="0" fontId="44" fillId="4" borderId="0" xfId="0" applyFont="1" applyFill="1" applyBorder="1" applyAlignment="1" applyProtection="1">
      <alignment horizontal="center"/>
    </xf>
    <xf numFmtId="0" fontId="43" fillId="4" borderId="4" xfId="0" applyFont="1" applyFill="1" applyBorder="1" applyAlignment="1" applyProtection="1">
      <alignment horizontal="center"/>
    </xf>
    <xf numFmtId="0" fontId="43" fillId="4" borderId="5" xfId="0" applyFont="1" applyFill="1" applyBorder="1" applyAlignment="1" applyProtection="1">
      <alignment horizontal="center"/>
    </xf>
    <xf numFmtId="0" fontId="43" fillId="4" borderId="5" xfId="0" applyFont="1" applyFill="1" applyBorder="1" applyAlignment="1" applyProtection="1">
      <alignment horizontal="left"/>
    </xf>
    <xf numFmtId="0" fontId="43" fillId="4" borderId="6" xfId="0" applyFont="1" applyFill="1" applyBorder="1" applyAlignment="1" applyProtection="1">
      <alignment horizontal="center"/>
    </xf>
    <xf numFmtId="0" fontId="45" fillId="4" borderId="5" xfId="0" applyFont="1" applyFill="1" applyBorder="1" applyAlignment="1" applyProtection="1">
      <alignment horizontal="center"/>
    </xf>
    <xf numFmtId="0" fontId="46" fillId="4" borderId="5" xfId="0" applyFont="1" applyFill="1" applyBorder="1" applyAlignment="1" applyProtection="1">
      <alignment horizontal="center"/>
    </xf>
    <xf numFmtId="0" fontId="43" fillId="7" borderId="0" xfId="0" applyFont="1" applyFill="1" applyBorder="1" applyAlignment="1" applyProtection="1">
      <alignment horizontal="center"/>
    </xf>
    <xf numFmtId="0" fontId="43" fillId="4" borderId="7" xfId="0" applyFont="1" applyFill="1" applyBorder="1" applyAlignment="1" applyProtection="1">
      <alignment horizontal="center"/>
    </xf>
    <xf numFmtId="0" fontId="43" fillId="4" borderId="8" xfId="0" applyFont="1" applyFill="1" applyBorder="1" applyAlignment="1" applyProtection="1">
      <alignment horizontal="center"/>
    </xf>
    <xf numFmtId="0" fontId="46" fillId="4" borderId="0" xfId="0" applyFont="1" applyFill="1" applyBorder="1" applyAlignment="1" applyProtection="1">
      <alignment horizontal="center"/>
    </xf>
    <xf numFmtId="0" fontId="56" fillId="4" borderId="7" xfId="0" applyFont="1" applyFill="1" applyBorder="1" applyAlignment="1" applyProtection="1">
      <alignment horizontal="center"/>
    </xf>
    <xf numFmtId="0" fontId="57" fillId="4" borderId="0" xfId="0" applyFont="1" applyFill="1" applyBorder="1" applyAlignment="1" applyProtection="1">
      <alignment horizontal="left"/>
    </xf>
    <xf numFmtId="0" fontId="56" fillId="4" borderId="0" xfId="0" applyFont="1" applyFill="1" applyBorder="1" applyAlignment="1" applyProtection="1">
      <alignment horizontal="left"/>
    </xf>
    <xf numFmtId="0" fontId="56" fillId="4" borderId="0" xfId="0" applyFont="1" applyFill="1" applyBorder="1" applyAlignment="1" applyProtection="1">
      <alignment horizontal="center"/>
    </xf>
    <xf numFmtId="0" fontId="56" fillId="4" borderId="8" xfId="0" applyFont="1" applyFill="1" applyBorder="1" applyAlignment="1" applyProtection="1">
      <alignment horizontal="center"/>
    </xf>
    <xf numFmtId="0" fontId="58" fillId="4" borderId="0" xfId="0" applyFont="1" applyFill="1" applyBorder="1" applyAlignment="1" applyProtection="1">
      <alignment horizontal="center"/>
    </xf>
    <xf numFmtId="0" fontId="59" fillId="4" borderId="0" xfId="0" applyFont="1" applyFill="1" applyBorder="1" applyAlignment="1" applyProtection="1">
      <alignment horizontal="center"/>
    </xf>
    <xf numFmtId="0" fontId="56" fillId="7" borderId="0" xfId="0" applyFont="1" applyFill="1" applyBorder="1" applyAlignment="1" applyProtection="1">
      <alignment horizontal="center"/>
    </xf>
    <xf numFmtId="0" fontId="51" fillId="4" borderId="7" xfId="0" applyFont="1" applyFill="1" applyBorder="1" applyAlignment="1" applyProtection="1">
      <alignment horizontal="center"/>
    </xf>
    <xf numFmtId="0" fontId="51" fillId="4" borderId="0" xfId="0" applyFont="1" applyFill="1" applyBorder="1" applyAlignment="1" applyProtection="1">
      <alignment horizontal="center"/>
    </xf>
    <xf numFmtId="166" fontId="51" fillId="4" borderId="0" xfId="0" applyNumberFormat="1" applyFont="1" applyFill="1" applyBorder="1" applyAlignment="1" applyProtection="1">
      <alignment horizontal="center"/>
    </xf>
    <xf numFmtId="0" fontId="51" fillId="4" borderId="8" xfId="0" applyFont="1" applyFill="1" applyBorder="1" applyAlignment="1" applyProtection="1">
      <alignment horizontal="center"/>
    </xf>
    <xf numFmtId="0" fontId="53" fillId="4" borderId="0" xfId="0" applyFont="1" applyFill="1" applyBorder="1" applyAlignment="1" applyProtection="1">
      <alignment horizontal="center"/>
    </xf>
    <xf numFmtId="166" fontId="43" fillId="4" borderId="0" xfId="0" applyNumberFormat="1" applyFont="1" applyFill="1" applyBorder="1" applyAlignment="1" applyProtection="1">
      <alignment horizontal="center"/>
    </xf>
    <xf numFmtId="0" fontId="51" fillId="7" borderId="0" xfId="0" applyFont="1" applyFill="1" applyBorder="1" applyAlignment="1" applyProtection="1">
      <alignment horizontal="center"/>
    </xf>
    <xf numFmtId="0" fontId="43" fillId="7" borderId="1" xfId="0" applyFont="1" applyFill="1" applyBorder="1" applyAlignment="1" applyProtection="1">
      <alignment horizontal="center"/>
    </xf>
    <xf numFmtId="0" fontId="43" fillId="7" borderId="1" xfId="0" applyFont="1" applyFill="1" applyBorder="1" applyAlignment="1" applyProtection="1">
      <alignment horizontal="left"/>
    </xf>
    <xf numFmtId="0" fontId="43" fillId="7" borderId="29" xfId="0" applyFont="1" applyFill="1" applyBorder="1" applyAlignment="1" applyProtection="1">
      <alignment horizontal="center"/>
    </xf>
    <xf numFmtId="0" fontId="43" fillId="7" borderId="30" xfId="0" applyFont="1" applyFill="1" applyBorder="1" applyAlignment="1" applyProtection="1">
      <alignment horizontal="center"/>
    </xf>
    <xf numFmtId="0" fontId="45" fillId="7" borderId="1" xfId="0" applyFont="1" applyFill="1" applyBorder="1" applyAlignment="1" applyProtection="1">
      <alignment horizontal="center"/>
    </xf>
    <xf numFmtId="0" fontId="46" fillId="7" borderId="1" xfId="0" applyFont="1" applyFill="1" applyBorder="1" applyAlignment="1" applyProtection="1">
      <alignment horizontal="center"/>
    </xf>
    <xf numFmtId="0" fontId="48" fillId="7" borderId="1" xfId="0" applyFont="1" applyFill="1" applyBorder="1" applyAlignment="1" applyProtection="1">
      <alignment horizontal="center"/>
    </xf>
    <xf numFmtId="0" fontId="43" fillId="4" borderId="2" xfId="0" applyFont="1" applyFill="1" applyBorder="1" applyAlignment="1" applyProtection="1">
      <alignment horizontal="center"/>
    </xf>
    <xf numFmtId="0" fontId="43" fillId="4" borderId="3" xfId="0" applyFont="1" applyFill="1" applyBorder="1" applyAlignment="1" applyProtection="1">
      <alignment horizontal="center"/>
    </xf>
    <xf numFmtId="0" fontId="43" fillId="4" borderId="3" xfId="0" applyFont="1" applyFill="1" applyBorder="1" applyAlignment="1" applyProtection="1">
      <alignment horizontal="left"/>
    </xf>
    <xf numFmtId="0" fontId="43" fillId="4" borderId="9" xfId="0" applyFont="1" applyFill="1" applyBorder="1" applyAlignment="1" applyProtection="1">
      <alignment horizontal="center"/>
    </xf>
    <xf numFmtId="0" fontId="45" fillId="4" borderId="3" xfId="0" applyFont="1" applyFill="1" applyBorder="1" applyAlignment="1" applyProtection="1">
      <alignment horizontal="center"/>
    </xf>
    <xf numFmtId="0" fontId="46" fillId="4" borderId="3" xfId="0" applyFont="1" applyFill="1" applyBorder="1" applyAlignment="1" applyProtection="1">
      <alignment horizontal="center"/>
    </xf>
    <xf numFmtId="0" fontId="43" fillId="7" borderId="0" xfId="0" applyFont="1" applyFill="1" applyBorder="1" applyAlignment="1" applyProtection="1">
      <alignment horizontal="left"/>
    </xf>
    <xf numFmtId="0" fontId="45" fillId="7" borderId="0" xfId="0" applyFont="1" applyFill="1" applyBorder="1" applyAlignment="1" applyProtection="1">
      <alignment horizontal="center"/>
    </xf>
    <xf numFmtId="0" fontId="64" fillId="4" borderId="0" xfId="0" applyFont="1" applyFill="1" applyBorder="1" applyAlignment="1" applyProtection="1">
      <alignment horizontal="left"/>
    </xf>
    <xf numFmtId="0" fontId="8" fillId="10" borderId="0" xfId="0" applyFont="1" applyFill="1" applyBorder="1"/>
    <xf numFmtId="0" fontId="10" fillId="10" borderId="0" xfId="0" applyFont="1" applyFill="1" applyBorder="1"/>
    <xf numFmtId="0" fontId="46" fillId="10" borderId="0" xfId="0" applyFont="1" applyFill="1" applyBorder="1" applyAlignment="1" applyProtection="1">
      <alignment horizontal="center"/>
    </xf>
    <xf numFmtId="0" fontId="51" fillId="10" borderId="0" xfId="0" applyFont="1" applyFill="1" applyBorder="1" applyAlignment="1" applyProtection="1">
      <alignment horizontal="center"/>
    </xf>
    <xf numFmtId="0" fontId="48" fillId="10" borderId="0" xfId="0" applyFont="1" applyFill="1" applyBorder="1" applyAlignment="1" applyProtection="1">
      <alignment horizontal="center"/>
    </xf>
    <xf numFmtId="0" fontId="45" fillId="10" borderId="0" xfId="0" applyFont="1" applyFill="1" applyBorder="1" applyAlignment="1" applyProtection="1">
      <alignment horizontal="center"/>
    </xf>
    <xf numFmtId="0" fontId="8" fillId="4" borderId="0" xfId="0" applyFont="1" applyFill="1" applyBorder="1" applyAlignment="1" applyProtection="1">
      <alignment horizontal="center"/>
    </xf>
    <xf numFmtId="0" fontId="65" fillId="4" borderId="5" xfId="0" applyFont="1" applyFill="1" applyBorder="1" applyAlignment="1" applyProtection="1">
      <alignment horizontal="center"/>
    </xf>
    <xf numFmtId="0" fontId="65" fillId="4" borderId="0" xfId="0" applyFont="1" applyFill="1" applyBorder="1" applyAlignment="1" applyProtection="1">
      <alignment horizontal="center"/>
    </xf>
    <xf numFmtId="0" fontId="66" fillId="4" borderId="0" xfId="0" applyFont="1" applyFill="1" applyBorder="1" applyAlignment="1" applyProtection="1">
      <alignment horizontal="center"/>
    </xf>
    <xf numFmtId="0" fontId="65" fillId="10" borderId="0" xfId="0" applyFont="1" applyFill="1" applyBorder="1" applyAlignment="1" applyProtection="1">
      <alignment horizontal="center"/>
    </xf>
    <xf numFmtId="0" fontId="68" fillId="10" borderId="0" xfId="0" applyFont="1" applyFill="1" applyBorder="1" applyAlignment="1" applyProtection="1">
      <alignment horizontal="center"/>
    </xf>
    <xf numFmtId="0" fontId="68" fillId="4" borderId="0" xfId="0" applyFont="1" applyFill="1" applyBorder="1" applyAlignment="1" applyProtection="1">
      <alignment horizontal="center"/>
    </xf>
    <xf numFmtId="0" fontId="68" fillId="7" borderId="1" xfId="0" applyFont="1" applyFill="1" applyBorder="1" applyAlignment="1" applyProtection="1">
      <alignment horizontal="center"/>
    </xf>
    <xf numFmtId="0" fontId="65" fillId="7" borderId="1" xfId="0" applyFont="1" applyFill="1" applyBorder="1" applyAlignment="1" applyProtection="1">
      <alignment horizontal="center"/>
    </xf>
    <xf numFmtId="0" fontId="65" fillId="4" borderId="3" xfId="0" applyFont="1" applyFill="1" applyBorder="1" applyAlignment="1" applyProtection="1">
      <alignment horizontal="center"/>
    </xf>
    <xf numFmtId="0" fontId="65" fillId="7" borderId="0" xfId="0" applyFont="1" applyFill="1" applyBorder="1" applyAlignment="1" applyProtection="1">
      <alignment horizontal="center"/>
    </xf>
    <xf numFmtId="0" fontId="67" fillId="4" borderId="0" xfId="0" applyFont="1" applyFill="1" applyBorder="1" applyAlignment="1" applyProtection="1">
      <alignment horizontal="center"/>
    </xf>
    <xf numFmtId="0" fontId="67" fillId="4" borderId="0" xfId="0" applyFont="1" applyFill="1" applyBorder="1" applyAlignment="1" applyProtection="1">
      <alignment horizontal="left"/>
    </xf>
    <xf numFmtId="0" fontId="67" fillId="10" borderId="0" xfId="0" applyFont="1" applyFill="1" applyBorder="1" applyProtection="1"/>
    <xf numFmtId="0" fontId="67" fillId="4" borderId="0" xfId="0" applyFont="1" applyFill="1" applyAlignment="1" applyProtection="1">
      <alignment horizontal="left"/>
      <protection locked="0"/>
    </xf>
    <xf numFmtId="0" fontId="43" fillId="4" borderId="0" xfId="0" applyFont="1" applyFill="1" applyBorder="1" applyAlignment="1" applyProtection="1">
      <alignment horizontal="center"/>
    </xf>
    <xf numFmtId="0" fontId="8" fillId="4" borderId="1" xfId="0" applyFont="1" applyFill="1" applyBorder="1" applyAlignment="1" applyProtection="1">
      <alignment horizontal="center"/>
      <protection locked="0"/>
    </xf>
    <xf numFmtId="0" fontId="9" fillId="10" borderId="0" xfId="0" applyFont="1" applyFill="1" applyBorder="1"/>
    <xf numFmtId="0" fontId="8" fillId="7" borderId="0" xfId="0" applyFont="1" applyFill="1" applyProtection="1"/>
    <xf numFmtId="0" fontId="8" fillId="7" borderId="1" xfId="0" applyFont="1" applyFill="1" applyBorder="1" applyProtection="1"/>
    <xf numFmtId="0" fontId="35" fillId="7" borderId="1" xfId="0" applyFont="1" applyFill="1" applyBorder="1" applyProtection="1"/>
    <xf numFmtId="0" fontId="48" fillId="7" borderId="1" xfId="0" applyFont="1" applyFill="1" applyBorder="1" applyAlignment="1" applyProtection="1">
      <alignment horizontal="left"/>
    </xf>
    <xf numFmtId="0" fontId="48" fillId="7" borderId="1" xfId="0" applyFont="1" applyFill="1" applyBorder="1" applyProtection="1"/>
    <xf numFmtId="0" fontId="8" fillId="4" borderId="0" xfId="0" applyFont="1" applyFill="1" applyBorder="1" applyProtection="1"/>
    <xf numFmtId="0" fontId="8" fillId="7" borderId="1" xfId="0" applyFont="1" applyFill="1" applyBorder="1" applyAlignment="1" applyProtection="1">
      <alignment horizontal="left"/>
    </xf>
    <xf numFmtId="0" fontId="8" fillId="7" borderId="1" xfId="0" applyFont="1" applyFill="1" applyBorder="1" applyAlignment="1" applyProtection="1">
      <alignment horizontal="center"/>
    </xf>
    <xf numFmtId="0" fontId="53" fillId="7" borderId="1" xfId="0" applyFont="1" applyFill="1" applyBorder="1" applyProtection="1"/>
    <xf numFmtId="14" fontId="47" fillId="7" borderId="0" xfId="0" applyNumberFormat="1" applyFont="1" applyFill="1" applyBorder="1" applyProtection="1"/>
    <xf numFmtId="0" fontId="47" fillId="7" borderId="0" xfId="0" applyFont="1" applyFill="1" applyBorder="1" applyAlignment="1" applyProtection="1">
      <alignment horizontal="center"/>
    </xf>
    <xf numFmtId="1" fontId="47" fillId="7" borderId="1" xfId="0" applyNumberFormat="1" applyFont="1" applyFill="1" applyBorder="1" applyAlignment="1" applyProtection="1">
      <alignment horizontal="center"/>
    </xf>
    <xf numFmtId="1" fontId="47" fillId="7" borderId="1" xfId="0" applyNumberFormat="1" applyFont="1" applyFill="1" applyBorder="1" applyProtection="1"/>
    <xf numFmtId="0" fontId="9" fillId="7" borderId="1" xfId="0" applyFont="1" applyFill="1" applyBorder="1" applyProtection="1"/>
    <xf numFmtId="0" fontId="9" fillId="7" borderId="1" xfId="0" applyFont="1" applyFill="1" applyBorder="1" applyAlignment="1" applyProtection="1">
      <alignment horizontal="left"/>
    </xf>
    <xf numFmtId="0" fontId="9" fillId="7" borderId="1" xfId="0" applyFont="1" applyFill="1" applyBorder="1" applyAlignment="1" applyProtection="1">
      <alignment horizontal="center"/>
    </xf>
    <xf numFmtId="0" fontId="48" fillId="4" borderId="33" xfId="0" applyFont="1" applyFill="1" applyBorder="1" applyProtection="1">
      <protection locked="0"/>
    </xf>
    <xf numFmtId="0" fontId="48" fillId="4" borderId="31" xfId="0" applyFont="1" applyFill="1" applyBorder="1" applyAlignment="1" applyProtection="1">
      <alignment horizontal="center"/>
      <protection locked="0"/>
    </xf>
    <xf numFmtId="0" fontId="8" fillId="7" borderId="32" xfId="0" applyFont="1" applyFill="1" applyBorder="1" applyProtection="1"/>
    <xf numFmtId="14" fontId="48" fillId="4" borderId="1" xfId="0" applyNumberFormat="1" applyFont="1" applyFill="1" applyBorder="1" applyAlignment="1" applyProtection="1">
      <alignment horizontal="center"/>
      <protection locked="0"/>
    </xf>
    <xf numFmtId="0" fontId="48" fillId="7" borderId="0" xfId="0" applyFont="1" applyFill="1" applyBorder="1" applyProtection="1"/>
    <xf numFmtId="0" fontId="9" fillId="10" borderId="0" xfId="0" applyFont="1" applyFill="1" applyBorder="1" applyProtection="1"/>
    <xf numFmtId="0" fontId="8" fillId="10" borderId="0" xfId="0" applyFont="1" applyFill="1" applyBorder="1" applyProtection="1"/>
    <xf numFmtId="0" fontId="8" fillId="10" borderId="0" xfId="0" applyFont="1" applyFill="1" applyBorder="1" applyAlignment="1" applyProtection="1">
      <alignment horizontal="left"/>
    </xf>
    <xf numFmtId="0" fontId="48" fillId="7" borderId="1" xfId="0" applyFont="1" applyFill="1" applyBorder="1" applyAlignment="1" applyProtection="1">
      <alignment horizontal="right"/>
    </xf>
    <xf numFmtId="0" fontId="8" fillId="7" borderId="27" xfId="0" applyFont="1" applyFill="1" applyBorder="1" applyProtection="1"/>
    <xf numFmtId="0" fontId="51" fillId="7" borderId="1" xfId="0" applyFont="1" applyFill="1" applyBorder="1" applyProtection="1"/>
    <xf numFmtId="0" fontId="51" fillId="7" borderId="1" xfId="0" applyFont="1" applyFill="1" applyBorder="1" applyAlignment="1" applyProtection="1">
      <alignment horizontal="left"/>
    </xf>
    <xf numFmtId="0" fontId="51" fillId="7" borderId="1" xfId="0" applyFont="1" applyFill="1" applyBorder="1" applyAlignment="1" applyProtection="1">
      <alignment horizontal="center"/>
    </xf>
    <xf numFmtId="0" fontId="48" fillId="4" borderId="1" xfId="0" applyFont="1" applyFill="1" applyBorder="1" applyAlignment="1" applyProtection="1">
      <alignment horizontal="center"/>
      <protection locked="0"/>
    </xf>
    <xf numFmtId="0" fontId="47" fillId="7" borderId="1" xfId="0" applyFont="1" applyFill="1" applyBorder="1" applyAlignment="1" applyProtection="1">
      <alignment horizontal="left"/>
    </xf>
    <xf numFmtId="0" fontId="9" fillId="7" borderId="1" xfId="0" applyFont="1" applyFill="1" applyBorder="1" applyAlignment="1" applyProtection="1"/>
    <xf numFmtId="0" fontId="10" fillId="7" borderId="1" xfId="0" applyFont="1" applyFill="1" applyBorder="1" applyProtection="1"/>
    <xf numFmtId="0" fontId="35" fillId="7" borderId="1" xfId="0" applyFont="1" applyFill="1" applyBorder="1" applyAlignment="1" applyProtection="1"/>
    <xf numFmtId="0" fontId="35" fillId="7" borderId="1" xfId="0" applyFont="1" applyFill="1" applyBorder="1" applyAlignment="1" applyProtection="1">
      <alignment horizontal="left"/>
    </xf>
    <xf numFmtId="0" fontId="35" fillId="7" borderId="1" xfId="0" applyFont="1" applyFill="1" applyBorder="1" applyAlignment="1" applyProtection="1">
      <alignment horizontal="center"/>
    </xf>
    <xf numFmtId="4" fontId="35" fillId="7" borderId="1" xfId="0" applyNumberFormat="1" applyFont="1" applyFill="1" applyBorder="1" applyAlignment="1" applyProtection="1">
      <alignment horizontal="center"/>
    </xf>
    <xf numFmtId="171" fontId="48" fillId="4" borderId="1" xfId="0" applyNumberFormat="1" applyFont="1" applyFill="1" applyBorder="1" applyProtection="1">
      <protection locked="0"/>
    </xf>
    <xf numFmtId="0" fontId="8" fillId="7" borderId="28" xfId="0" applyFont="1" applyFill="1" applyBorder="1" applyProtection="1"/>
    <xf numFmtId="0" fontId="8" fillId="7" borderId="28" xfId="0" applyFont="1" applyFill="1" applyBorder="1" applyAlignment="1" applyProtection="1">
      <alignment horizontal="left"/>
    </xf>
    <xf numFmtId="0" fontId="8" fillId="7" borderId="28" xfId="0" applyFont="1" applyFill="1" applyBorder="1" applyAlignment="1" applyProtection="1">
      <alignment horizontal="center"/>
    </xf>
    <xf numFmtId="0" fontId="10" fillId="7" borderId="1" xfId="0" applyFont="1" applyFill="1" applyBorder="1" applyAlignment="1" applyProtection="1"/>
    <xf numFmtId="0" fontId="10" fillId="7" borderId="1" xfId="0" applyFont="1" applyFill="1" applyBorder="1" applyAlignment="1" applyProtection="1">
      <alignment horizontal="left"/>
    </xf>
    <xf numFmtId="0" fontId="10" fillId="7" borderId="1" xfId="0" applyFont="1" applyFill="1" applyBorder="1" applyAlignment="1" applyProtection="1">
      <alignment horizontal="center"/>
    </xf>
    <xf numFmtId="4" fontId="10" fillId="7" borderId="1" xfId="0" applyNumberFormat="1" applyFont="1" applyFill="1" applyBorder="1" applyAlignment="1" applyProtection="1">
      <alignment horizontal="center"/>
    </xf>
    <xf numFmtId="0" fontId="8" fillId="7" borderId="27" xfId="0" applyFont="1" applyFill="1" applyBorder="1" applyAlignment="1" applyProtection="1">
      <alignment horizontal="left"/>
    </xf>
    <xf numFmtId="0" fontId="8" fillId="7" borderId="27" xfId="0" applyFont="1" applyFill="1" applyBorder="1" applyAlignment="1" applyProtection="1">
      <alignment horizontal="center"/>
    </xf>
    <xf numFmtId="4" fontId="8" fillId="7" borderId="27" xfId="0" applyNumberFormat="1" applyFont="1" applyFill="1" applyBorder="1" applyProtection="1"/>
    <xf numFmtId="0" fontId="8" fillId="4" borderId="1" xfId="0" applyFont="1" applyFill="1" applyBorder="1" applyAlignment="1" applyProtection="1">
      <alignment horizontal="left"/>
      <protection locked="0"/>
    </xf>
    <xf numFmtId="0" fontId="1" fillId="7" borderId="1" xfId="0" applyFont="1" applyFill="1" applyBorder="1" applyProtection="1"/>
    <xf numFmtId="0" fontId="8" fillId="7" borderId="1" xfId="0" applyFont="1" applyFill="1" applyBorder="1" applyAlignment="1" applyProtection="1"/>
    <xf numFmtId="9" fontId="8" fillId="7" borderId="1" xfId="0" applyNumberFormat="1" applyFont="1" applyFill="1" applyBorder="1" applyAlignment="1" applyProtection="1">
      <alignment horizontal="center"/>
    </xf>
    <xf numFmtId="10" fontId="74" fillId="7" borderId="1" xfId="0" applyNumberFormat="1" applyFont="1" applyFill="1" applyBorder="1" applyAlignment="1" applyProtection="1">
      <alignment horizontal="center"/>
    </xf>
    <xf numFmtId="10" fontId="8" fillId="7" borderId="1" xfId="0" applyNumberFormat="1" applyFont="1" applyFill="1" applyBorder="1" applyAlignment="1" applyProtection="1">
      <alignment horizontal="center"/>
    </xf>
    <xf numFmtId="0" fontId="9" fillId="7" borderId="28" xfId="0" applyFont="1" applyFill="1" applyBorder="1" applyProtection="1"/>
    <xf numFmtId="1" fontId="8" fillId="7" borderId="28" xfId="0" applyNumberFormat="1" applyFont="1" applyFill="1" applyBorder="1" applyProtection="1"/>
    <xf numFmtId="0" fontId="8" fillId="7" borderId="1" xfId="0" applyFont="1" applyFill="1" applyBorder="1" applyAlignment="1" applyProtection="1">
      <alignment horizontal="right"/>
    </xf>
    <xf numFmtId="1" fontId="74" fillId="7" borderId="1" xfId="0" applyNumberFormat="1" applyFont="1" applyFill="1" applyBorder="1" applyAlignment="1" applyProtection="1">
      <alignment horizontal="center"/>
    </xf>
    <xf numFmtId="0" fontId="9" fillId="7" borderId="0" xfId="0" applyFont="1" applyFill="1" applyProtection="1"/>
    <xf numFmtId="0" fontId="9" fillId="4" borderId="0" xfId="0" applyFont="1" applyFill="1" applyBorder="1" applyProtection="1"/>
    <xf numFmtId="0" fontId="35" fillId="7" borderId="0" xfId="0" applyFont="1" applyFill="1" applyProtection="1"/>
    <xf numFmtId="0" fontId="35" fillId="4" borderId="0" xfId="0" applyFont="1" applyFill="1" applyBorder="1" applyProtection="1"/>
    <xf numFmtId="0" fontId="35" fillId="10" borderId="0" xfId="0" applyFont="1" applyFill="1" applyBorder="1" applyProtection="1"/>
    <xf numFmtId="1" fontId="8" fillId="7" borderId="1" xfId="0" applyNumberFormat="1" applyFont="1" applyFill="1" applyBorder="1" applyProtection="1"/>
    <xf numFmtId="0" fontId="75" fillId="10" borderId="0" xfId="0" applyFont="1" applyFill="1" applyBorder="1" applyProtection="1"/>
    <xf numFmtId="166" fontId="8" fillId="4" borderId="0" xfId="0" applyNumberFormat="1" applyFont="1" applyFill="1" applyBorder="1" applyProtection="1"/>
    <xf numFmtId="0" fontId="8" fillId="4" borderId="0" xfId="0" applyFont="1" applyFill="1" applyBorder="1" applyAlignment="1" applyProtection="1">
      <alignment horizontal="left"/>
    </xf>
    <xf numFmtId="10" fontId="8" fillId="4" borderId="0" xfId="2" applyNumberFormat="1" applyFont="1" applyFill="1" applyBorder="1" applyProtection="1"/>
    <xf numFmtId="0" fontId="8" fillId="4" borderId="1" xfId="2" applyNumberFormat="1" applyFont="1" applyFill="1" applyBorder="1" applyAlignment="1" applyProtection="1">
      <alignment horizontal="center"/>
      <protection locked="0"/>
    </xf>
    <xf numFmtId="14" fontId="8" fillId="4" borderId="1" xfId="0" applyNumberFormat="1" applyFont="1" applyFill="1" applyBorder="1" applyAlignment="1" applyProtection="1">
      <alignment horizontal="center"/>
      <protection locked="0"/>
    </xf>
    <xf numFmtId="0" fontId="7" fillId="13" borderId="0" xfId="0" applyFont="1" applyFill="1" applyProtection="1"/>
    <xf numFmtId="0" fontId="62" fillId="13" borderId="0" xfId="0" applyFont="1" applyFill="1" applyProtection="1"/>
    <xf numFmtId="0" fontId="60" fillId="13" borderId="0" xfId="0" applyFont="1" applyFill="1" applyProtection="1"/>
    <xf numFmtId="0" fontId="8" fillId="13" borderId="0" xfId="0" applyFont="1" applyFill="1" applyProtection="1"/>
    <xf numFmtId="0" fontId="9" fillId="13" borderId="0" xfId="0" applyFont="1" applyFill="1" applyProtection="1"/>
    <xf numFmtId="0" fontId="35" fillId="13" borderId="0" xfId="0" applyFont="1" applyFill="1" applyProtection="1"/>
    <xf numFmtId="0" fontId="7" fillId="13" borderId="0" xfId="0" applyFont="1" applyFill="1" applyAlignment="1" applyProtection="1">
      <alignment horizontal="left"/>
    </xf>
    <xf numFmtId="0" fontId="7" fillId="13" borderId="0" xfId="0" applyFont="1" applyFill="1" applyAlignment="1" applyProtection="1">
      <alignment horizontal="center"/>
    </xf>
    <xf numFmtId="0" fontId="47" fillId="13" borderId="0" xfId="0" applyFont="1" applyFill="1" applyBorder="1" applyAlignment="1" applyProtection="1">
      <alignment horizontal="left"/>
    </xf>
    <xf numFmtId="9" fontId="79" fillId="7" borderId="1" xfId="0" applyNumberFormat="1" applyFont="1" applyFill="1" applyBorder="1" applyAlignment="1" applyProtection="1">
      <alignment horizontal="center"/>
    </xf>
    <xf numFmtId="10" fontId="79" fillId="7" borderId="1" xfId="0" applyNumberFormat="1" applyFont="1" applyFill="1" applyBorder="1" applyAlignment="1" applyProtection="1">
      <alignment horizontal="center"/>
    </xf>
    <xf numFmtId="166" fontId="80" fillId="7" borderId="1" xfId="0" applyNumberFormat="1" applyFont="1" applyFill="1" applyBorder="1" applyAlignment="1" applyProtection="1">
      <alignment horizontal="center"/>
    </xf>
    <xf numFmtId="1" fontId="80" fillId="7" borderId="1" xfId="0" applyNumberFormat="1" applyFont="1" applyFill="1" applyBorder="1" applyAlignment="1" applyProtection="1">
      <alignment horizontal="center"/>
    </xf>
    <xf numFmtId="0" fontId="80" fillId="7" borderId="1" xfId="0" applyFont="1" applyFill="1" applyBorder="1" applyAlignment="1" applyProtection="1">
      <alignment horizontal="center"/>
    </xf>
    <xf numFmtId="177" fontId="80" fillId="11" borderId="1" xfId="3" applyNumberFormat="1" applyFont="1" applyFill="1" applyBorder="1" applyAlignment="1" applyProtection="1">
      <alignment horizontal="center"/>
    </xf>
    <xf numFmtId="10" fontId="80" fillId="11" borderId="1" xfId="2" applyNumberFormat="1" applyFont="1" applyFill="1" applyBorder="1" applyAlignment="1" applyProtection="1">
      <alignment horizontal="center"/>
    </xf>
    <xf numFmtId="177" fontId="81" fillId="11" borderId="1" xfId="3" applyNumberFormat="1" applyFont="1" applyFill="1" applyBorder="1" applyAlignment="1" applyProtection="1">
      <alignment horizontal="right"/>
    </xf>
    <xf numFmtId="166" fontId="81" fillId="11" borderId="1" xfId="0" applyNumberFormat="1" applyFont="1" applyFill="1" applyBorder="1" applyAlignment="1" applyProtection="1">
      <alignment horizontal="right"/>
    </xf>
    <xf numFmtId="0" fontId="82" fillId="7" borderId="1" xfId="0" applyFont="1" applyFill="1" applyBorder="1" applyProtection="1"/>
    <xf numFmtId="0" fontId="84" fillId="4" borderId="0" xfId="0" applyFont="1" applyFill="1" applyBorder="1" applyProtection="1"/>
    <xf numFmtId="0" fontId="43" fillId="13" borderId="0" xfId="0" applyFont="1" applyFill="1" applyBorder="1" applyAlignment="1" applyProtection="1">
      <alignment horizontal="center"/>
    </xf>
    <xf numFmtId="0" fontId="56" fillId="13" borderId="0" xfId="0" applyFont="1" applyFill="1" applyBorder="1" applyAlignment="1" applyProtection="1">
      <alignment horizontal="center"/>
    </xf>
    <xf numFmtId="0" fontId="51" fillId="13" borderId="0" xfId="0" applyFont="1" applyFill="1" applyBorder="1" applyAlignment="1" applyProtection="1">
      <alignment horizontal="center"/>
    </xf>
    <xf numFmtId="0" fontId="54" fillId="13" borderId="0" xfId="0" applyFont="1" applyFill="1" applyBorder="1" applyAlignment="1" applyProtection="1">
      <alignment horizontal="center"/>
    </xf>
    <xf numFmtId="0" fontId="43" fillId="13" borderId="0" xfId="0" applyFont="1" applyFill="1" applyBorder="1" applyAlignment="1" applyProtection="1">
      <alignment horizontal="left"/>
    </xf>
    <xf numFmtId="0" fontId="45" fillId="13" borderId="0" xfId="0" applyFont="1" applyFill="1" applyBorder="1" applyAlignment="1" applyProtection="1">
      <alignment horizontal="center"/>
    </xf>
    <xf numFmtId="0" fontId="46" fillId="13" borderId="0" xfId="0" applyFont="1" applyFill="1" applyBorder="1" applyAlignment="1" applyProtection="1">
      <alignment horizontal="center"/>
    </xf>
    <xf numFmtId="0" fontId="65" fillId="13" borderId="0" xfId="0" applyFont="1" applyFill="1" applyBorder="1" applyAlignment="1" applyProtection="1">
      <alignment horizontal="center"/>
    </xf>
    <xf numFmtId="0" fontId="79" fillId="13" borderId="0" xfId="0" applyFont="1" applyFill="1" applyBorder="1" applyAlignment="1" applyProtection="1">
      <alignment horizontal="center"/>
    </xf>
    <xf numFmtId="0" fontId="79" fillId="13" borderId="0" xfId="0" applyFont="1" applyFill="1" applyBorder="1" applyAlignment="1" applyProtection="1"/>
    <xf numFmtId="0" fontId="83" fillId="13" borderId="0" xfId="0" applyFont="1" applyFill="1" applyBorder="1" applyAlignment="1" applyProtection="1">
      <alignment horizontal="center"/>
    </xf>
    <xf numFmtId="0" fontId="83" fillId="13" borderId="0" xfId="0" applyFont="1" applyFill="1" applyBorder="1" applyAlignment="1" applyProtection="1"/>
    <xf numFmtId="0" fontId="79" fillId="13" borderId="0" xfId="0" applyFont="1" applyFill="1" applyBorder="1" applyAlignment="1" applyProtection="1">
      <alignment horizontal="left"/>
    </xf>
    <xf numFmtId="0" fontId="79" fillId="13" borderId="0" xfId="0" applyFont="1" applyFill="1" applyBorder="1" applyProtection="1"/>
    <xf numFmtId="14" fontId="79" fillId="13" borderId="0" xfId="0" applyNumberFormat="1" applyFont="1" applyFill="1" applyBorder="1" applyAlignment="1" applyProtection="1">
      <alignment horizontal="center"/>
    </xf>
    <xf numFmtId="0" fontId="80" fillId="13" borderId="0" xfId="0" applyFont="1" applyFill="1" applyBorder="1" applyAlignment="1" applyProtection="1">
      <alignment horizontal="center"/>
    </xf>
    <xf numFmtId="1" fontId="79" fillId="13" borderId="0" xfId="0" applyNumberFormat="1" applyFont="1" applyFill="1" applyBorder="1" applyAlignment="1" applyProtection="1">
      <alignment horizontal="center"/>
    </xf>
    <xf numFmtId="9" fontId="79" fillId="13" borderId="0" xfId="0" applyNumberFormat="1" applyFont="1" applyFill="1" applyBorder="1" applyAlignment="1" applyProtection="1">
      <alignment horizontal="center"/>
    </xf>
    <xf numFmtId="10" fontId="79" fillId="13" borderId="0" xfId="0" applyNumberFormat="1" applyFont="1" applyFill="1" applyBorder="1" applyAlignment="1" applyProtection="1">
      <alignment horizontal="center"/>
    </xf>
    <xf numFmtId="2" fontId="79" fillId="13" borderId="0" xfId="0" applyNumberFormat="1" applyFont="1" applyFill="1" applyBorder="1" applyAlignment="1" applyProtection="1">
      <alignment horizontal="center"/>
    </xf>
    <xf numFmtId="166" fontId="79" fillId="13" borderId="0" xfId="0" applyNumberFormat="1" applyFont="1" applyFill="1" applyBorder="1" applyAlignment="1" applyProtection="1">
      <alignment horizontal="left"/>
    </xf>
    <xf numFmtId="166" fontId="79" fillId="13" borderId="0" xfId="0" applyNumberFormat="1" applyFont="1" applyFill="1" applyBorder="1" applyAlignment="1" applyProtection="1">
      <alignment horizontal="right"/>
    </xf>
    <xf numFmtId="166" fontId="79" fillId="13" borderId="0" xfId="0" applyNumberFormat="1" applyFont="1" applyFill="1" applyBorder="1" applyProtection="1"/>
    <xf numFmtId="178" fontId="79" fillId="13" borderId="0" xfId="0" applyNumberFormat="1" applyFont="1" applyFill="1" applyBorder="1" applyProtection="1"/>
    <xf numFmtId="0" fontId="54" fillId="13" borderId="0" xfId="0" applyFont="1" applyFill="1" applyBorder="1" applyAlignment="1" applyProtection="1">
      <alignment horizontal="left"/>
    </xf>
    <xf numFmtId="0" fontId="55" fillId="13" borderId="0" xfId="0" applyFont="1" applyFill="1" applyBorder="1" applyAlignment="1" applyProtection="1">
      <alignment horizontal="center"/>
    </xf>
    <xf numFmtId="166" fontId="44" fillId="12" borderId="1" xfId="0" applyNumberFormat="1" applyFont="1" applyFill="1" applyBorder="1" applyAlignment="1" applyProtection="1">
      <alignment horizontal="center"/>
    </xf>
    <xf numFmtId="166" fontId="43" fillId="12" borderId="1" xfId="0" applyNumberFormat="1" applyFont="1" applyFill="1" applyBorder="1" applyAlignment="1" applyProtection="1">
      <alignment horizontal="center"/>
    </xf>
    <xf numFmtId="166" fontId="45" fillId="12" borderId="1" xfId="0" applyNumberFormat="1" applyFont="1" applyFill="1" applyBorder="1" applyAlignment="1" applyProtection="1">
      <alignment horizontal="center"/>
    </xf>
    <xf numFmtId="166" fontId="48" fillId="12" borderId="1" xfId="0" applyNumberFormat="1" applyFont="1" applyFill="1" applyBorder="1" applyAlignment="1" applyProtection="1">
      <alignment horizontal="center"/>
    </xf>
    <xf numFmtId="166" fontId="9" fillId="14" borderId="1" xfId="0" applyNumberFormat="1" applyFont="1" applyFill="1" applyBorder="1" applyAlignment="1" applyProtection="1">
      <alignment horizontal="center"/>
    </xf>
    <xf numFmtId="174" fontId="9" fillId="14" borderId="1" xfId="2" applyNumberFormat="1" applyFont="1" applyFill="1" applyBorder="1" applyAlignment="1" applyProtection="1">
      <alignment horizontal="center"/>
    </xf>
    <xf numFmtId="0" fontId="9" fillId="4" borderId="0" xfId="0" applyFont="1" applyFill="1" applyBorder="1" applyAlignment="1" applyProtection="1">
      <alignment horizontal="center"/>
    </xf>
    <xf numFmtId="177" fontId="44" fillId="12" borderId="1" xfId="0" applyNumberFormat="1" applyFont="1" applyFill="1" applyBorder="1" applyAlignment="1" applyProtection="1">
      <alignment horizontal="center"/>
    </xf>
    <xf numFmtId="171" fontId="8" fillId="4" borderId="1" xfId="0" applyNumberFormat="1" applyFont="1" applyFill="1" applyBorder="1" applyAlignment="1" applyProtection="1">
      <alignment horizontal="center"/>
      <protection locked="0"/>
    </xf>
    <xf numFmtId="174" fontId="9" fillId="15" borderId="1" xfId="2" applyNumberFormat="1" applyFont="1" applyFill="1" applyBorder="1" applyAlignment="1" applyProtection="1">
      <alignment horizontal="center"/>
    </xf>
    <xf numFmtId="0" fontId="8" fillId="7" borderId="35" xfId="0" applyFont="1" applyFill="1" applyBorder="1" applyProtection="1"/>
    <xf numFmtId="0" fontId="9" fillId="7" borderId="35" xfId="0" applyFont="1" applyFill="1" applyBorder="1" applyProtection="1"/>
    <xf numFmtId="0" fontId="8" fillId="7" borderId="35" xfId="0" applyFont="1" applyFill="1" applyBorder="1" applyAlignment="1" applyProtection="1">
      <alignment horizontal="left"/>
    </xf>
    <xf numFmtId="0" fontId="8" fillId="7" borderId="35" xfId="0" applyFont="1" applyFill="1" applyBorder="1" applyAlignment="1" applyProtection="1">
      <alignment horizontal="center"/>
    </xf>
    <xf numFmtId="1" fontId="8" fillId="7" borderId="35" xfId="0" applyNumberFormat="1" applyFont="1" applyFill="1" applyBorder="1" applyProtection="1"/>
    <xf numFmtId="0" fontId="9" fillId="13" borderId="0" xfId="0" applyFont="1" applyFill="1" applyBorder="1" applyAlignment="1" applyProtection="1">
      <alignment horizontal="center"/>
    </xf>
    <xf numFmtId="0" fontId="9" fillId="4" borderId="5" xfId="0" applyFont="1" applyFill="1" applyBorder="1" applyAlignment="1" applyProtection="1">
      <alignment horizontal="center"/>
    </xf>
    <xf numFmtId="0" fontId="85" fillId="4" borderId="0" xfId="0" applyFont="1" applyFill="1" applyBorder="1" applyAlignment="1" applyProtection="1">
      <alignment horizontal="center"/>
    </xf>
    <xf numFmtId="166" fontId="50" fillId="4" borderId="0" xfId="0" applyNumberFormat="1" applyFont="1" applyFill="1" applyBorder="1" applyAlignment="1" applyProtection="1">
      <alignment horizontal="center"/>
    </xf>
    <xf numFmtId="166" fontId="10" fillId="12" borderId="1" xfId="0" applyNumberFormat="1" applyFont="1" applyFill="1" applyBorder="1" applyAlignment="1" applyProtection="1">
      <alignment horizontal="center"/>
    </xf>
    <xf numFmtId="0" fontId="9" fillId="4" borderId="3" xfId="0" applyFont="1" applyFill="1" applyBorder="1" applyAlignment="1" applyProtection="1">
      <alignment horizontal="center"/>
    </xf>
    <xf numFmtId="0" fontId="86" fillId="13" borderId="0" xfId="0" applyFont="1" applyFill="1" applyBorder="1" applyAlignment="1" applyProtection="1">
      <alignment horizontal="center"/>
    </xf>
    <xf numFmtId="0" fontId="9" fillId="7" borderId="0" xfId="0" applyFont="1" applyFill="1" applyBorder="1" applyAlignment="1" applyProtection="1">
      <alignment horizontal="center"/>
    </xf>
    <xf numFmtId="177" fontId="8" fillId="15" borderId="1" xfId="0" applyNumberFormat="1" applyFont="1" applyFill="1" applyBorder="1" applyAlignment="1" applyProtection="1">
      <alignment horizontal="center"/>
    </xf>
    <xf numFmtId="177" fontId="10" fillId="15" borderId="1" xfId="0" applyNumberFormat="1" applyFont="1" applyFill="1" applyBorder="1" applyAlignment="1" applyProtection="1">
      <alignment horizontal="center"/>
    </xf>
    <xf numFmtId="174" fontId="10" fillId="15" borderId="1" xfId="2" applyNumberFormat="1" applyFont="1" applyFill="1" applyBorder="1" applyAlignment="1" applyProtection="1">
      <alignment horizontal="center"/>
    </xf>
    <xf numFmtId="177" fontId="9" fillId="15" borderId="1" xfId="0" applyNumberFormat="1" applyFont="1" applyFill="1" applyBorder="1" applyAlignment="1" applyProtection="1">
      <alignment horizontal="center"/>
    </xf>
    <xf numFmtId="0" fontId="8" fillId="7" borderId="0" xfId="0" applyFont="1" applyFill="1" applyBorder="1" applyProtection="1"/>
    <xf numFmtId="49" fontId="87" fillId="13" borderId="0" xfId="0" applyNumberFormat="1" applyFont="1" applyFill="1" applyBorder="1" applyAlignment="1" applyProtection="1">
      <alignment horizontal="left"/>
    </xf>
    <xf numFmtId="0" fontId="87" fillId="13" borderId="0" xfId="0" applyFont="1" applyFill="1" applyBorder="1" applyAlignment="1" applyProtection="1">
      <alignment horizontal="left"/>
    </xf>
    <xf numFmtId="14" fontId="79" fillId="11" borderId="0" xfId="0" applyNumberFormat="1" applyFont="1" applyFill="1" applyBorder="1" applyAlignment="1" applyProtection="1">
      <alignment horizontal="center"/>
    </xf>
    <xf numFmtId="0" fontId="8" fillId="4" borderId="0" xfId="0" applyFont="1" applyFill="1" applyBorder="1" applyAlignment="1" applyProtection="1">
      <alignment horizontal="center"/>
      <protection locked="0"/>
    </xf>
    <xf numFmtId="0" fontId="43" fillId="4" borderId="0" xfId="0" applyFont="1" applyFill="1" applyBorder="1" applyAlignment="1" applyProtection="1">
      <alignment horizontal="center"/>
    </xf>
    <xf numFmtId="10" fontId="88" fillId="0" borderId="0" xfId="0" applyNumberFormat="1" applyFont="1" applyBorder="1" applyAlignment="1">
      <alignment horizontal="left" vertical="top" wrapText="1"/>
    </xf>
    <xf numFmtId="0" fontId="8" fillId="0" borderId="0" xfId="0" applyFont="1" applyBorder="1" applyAlignment="1" applyProtection="1">
      <alignment horizontal="center"/>
    </xf>
    <xf numFmtId="17" fontId="35" fillId="4" borderId="0" xfId="0" applyNumberFormat="1" applyFont="1" applyFill="1" applyBorder="1" applyAlignment="1" applyProtection="1">
      <alignment horizontal="center"/>
    </xf>
    <xf numFmtId="0" fontId="8" fillId="7" borderId="0" xfId="0" applyFont="1" applyFill="1" applyBorder="1" applyAlignment="1" applyProtection="1">
      <alignment horizontal="center"/>
    </xf>
    <xf numFmtId="0" fontId="2" fillId="0" borderId="0" xfId="1" applyBorder="1" applyAlignment="1" applyProtection="1">
      <alignment horizontal="left"/>
    </xf>
    <xf numFmtId="166" fontId="68" fillId="0" borderId="1" xfId="0" applyNumberFormat="1" applyFont="1" applyFill="1" applyBorder="1" applyAlignment="1" applyProtection="1">
      <alignment horizontal="center"/>
      <protection locked="0"/>
    </xf>
    <xf numFmtId="0" fontId="67" fillId="0" borderId="0" xfId="0" applyFont="1" applyBorder="1" applyAlignment="1">
      <alignment horizontal="center"/>
    </xf>
    <xf numFmtId="0" fontId="67" fillId="0" borderId="0" xfId="0" applyFont="1" applyBorder="1" applyAlignment="1">
      <alignment horizontal="left"/>
    </xf>
    <xf numFmtId="0" fontId="89" fillId="9" borderId="0" xfId="0" applyNumberFormat="1" applyFont="1" applyFill="1" applyBorder="1" applyAlignment="1" applyProtection="1">
      <alignment horizontal="left"/>
      <protection locked="0"/>
    </xf>
    <xf numFmtId="0" fontId="67" fillId="9" borderId="0" xfId="0" applyFont="1" applyFill="1" applyBorder="1" applyAlignment="1" applyProtection="1">
      <alignment horizontal="left"/>
      <protection locked="0"/>
    </xf>
    <xf numFmtId="0" fontId="67" fillId="9" borderId="0" xfId="0" applyNumberFormat="1" applyFont="1" applyFill="1" applyBorder="1" applyAlignment="1" applyProtection="1">
      <alignment horizontal="left"/>
      <protection locked="0"/>
    </xf>
    <xf numFmtId="0" fontId="89" fillId="0" borderId="0" xfId="0" applyFont="1" applyBorder="1" applyAlignment="1" applyProtection="1">
      <alignment horizontal="left"/>
    </xf>
    <xf numFmtId="170" fontId="67" fillId="9" borderId="0" xfId="0" applyNumberFormat="1" applyFont="1" applyFill="1" applyBorder="1" applyAlignment="1" applyProtection="1">
      <alignment horizontal="left"/>
      <protection locked="0"/>
    </xf>
    <xf numFmtId="0" fontId="67" fillId="0" borderId="0" xfId="0" applyFont="1" applyBorder="1" applyAlignment="1" applyProtection="1">
      <alignment horizontal="left"/>
    </xf>
    <xf numFmtId="0" fontId="67" fillId="0" borderId="0" xfId="0" applyFont="1" applyFill="1" applyBorder="1" applyAlignment="1" applyProtection="1">
      <alignment horizontal="left"/>
    </xf>
    <xf numFmtId="0" fontId="67" fillId="0" borderId="0" xfId="0" applyNumberFormat="1" applyFont="1" applyBorder="1" applyAlignment="1" applyProtection="1">
      <alignment horizontal="left"/>
    </xf>
    <xf numFmtId="1" fontId="67" fillId="0" borderId="0" xfId="0" applyNumberFormat="1" applyFont="1" applyBorder="1" applyAlignment="1" applyProtection="1">
      <alignment horizontal="left"/>
    </xf>
    <xf numFmtId="49" fontId="67" fillId="0" borderId="0" xfId="0" applyNumberFormat="1" applyFont="1" applyBorder="1" applyAlignment="1" applyProtection="1">
      <alignment horizontal="left"/>
    </xf>
    <xf numFmtId="3" fontId="67" fillId="9" borderId="0" xfId="0" applyNumberFormat="1" applyFont="1" applyFill="1" applyBorder="1" applyAlignment="1" applyProtection="1">
      <alignment horizontal="left"/>
      <protection locked="0"/>
    </xf>
    <xf numFmtId="0" fontId="67" fillId="4" borderId="0" xfId="0" applyFont="1" applyFill="1" applyBorder="1" applyAlignment="1" applyProtection="1">
      <alignment horizontal="left"/>
      <protection locked="0"/>
    </xf>
    <xf numFmtId="3" fontId="67" fillId="0" borderId="0" xfId="0" applyNumberFormat="1" applyFont="1" applyFill="1" applyBorder="1" applyAlignment="1" applyProtection="1">
      <alignment horizontal="left"/>
      <protection locked="0"/>
    </xf>
    <xf numFmtId="0" fontId="69" fillId="0" borderId="0" xfId="0" applyFont="1" applyBorder="1" applyAlignment="1" applyProtection="1">
      <alignment horizontal="left"/>
    </xf>
    <xf numFmtId="0" fontId="67" fillId="14" borderId="0" xfId="0" applyFont="1" applyFill="1" applyBorder="1" applyAlignment="1" applyProtection="1">
      <alignment horizontal="left"/>
    </xf>
    <xf numFmtId="10" fontId="67" fillId="9" borderId="0" xfId="0" applyNumberFormat="1" applyFont="1" applyFill="1" applyBorder="1" applyAlignment="1" applyProtection="1">
      <alignment horizontal="left"/>
      <protection locked="0"/>
    </xf>
    <xf numFmtId="172" fontId="67" fillId="9" borderId="0" xfId="0" applyNumberFormat="1" applyFont="1" applyFill="1" applyBorder="1" applyAlignment="1" applyProtection="1">
      <alignment horizontal="left"/>
      <protection locked="0"/>
    </xf>
    <xf numFmtId="4" fontId="67" fillId="0" borderId="0" xfId="0" applyNumberFormat="1" applyFont="1" applyFill="1" applyBorder="1" applyAlignment="1" applyProtection="1">
      <alignment horizontal="left"/>
    </xf>
    <xf numFmtId="0" fontId="70" fillId="0" borderId="0" xfId="1" applyFont="1" applyBorder="1" applyAlignment="1" applyProtection="1">
      <alignment horizontal="left"/>
    </xf>
    <xf numFmtId="3" fontId="67" fillId="0" borderId="0" xfId="0" applyNumberFormat="1" applyFont="1" applyFill="1" applyBorder="1" applyAlignment="1" applyProtection="1">
      <alignment horizontal="left"/>
    </xf>
    <xf numFmtId="0" fontId="67" fillId="17" borderId="0" xfId="0" applyFont="1" applyFill="1" applyBorder="1" applyAlignment="1" applyProtection="1">
      <alignment horizontal="left"/>
    </xf>
    <xf numFmtId="10" fontId="67" fillId="12" borderId="0" xfId="0" applyNumberFormat="1" applyFont="1" applyFill="1" applyBorder="1" applyAlignment="1" applyProtection="1">
      <alignment horizontal="left"/>
      <protection locked="0"/>
    </xf>
    <xf numFmtId="9" fontId="67" fillId="0" borderId="0" xfId="0" applyNumberFormat="1" applyFont="1" applyBorder="1" applyAlignment="1" applyProtection="1">
      <alignment horizontal="left"/>
    </xf>
    <xf numFmtId="4" fontId="67" fillId="9" borderId="0" xfId="0" applyNumberFormat="1" applyFont="1" applyFill="1" applyBorder="1" applyAlignment="1" applyProtection="1">
      <alignment horizontal="left"/>
      <protection locked="0"/>
    </xf>
    <xf numFmtId="10" fontId="67" fillId="0" borderId="0" xfId="0" applyNumberFormat="1" applyFont="1" applyBorder="1" applyAlignment="1" applyProtection="1">
      <alignment horizontal="left"/>
    </xf>
    <xf numFmtId="9" fontId="67" fillId="0" borderId="0" xfId="0" applyNumberFormat="1" applyFont="1" applyFill="1" applyBorder="1" applyAlignment="1" applyProtection="1">
      <alignment horizontal="left"/>
    </xf>
    <xf numFmtId="0" fontId="67" fillId="18" borderId="0" xfId="0" applyFont="1" applyFill="1" applyBorder="1" applyAlignment="1" applyProtection="1">
      <alignment horizontal="left"/>
    </xf>
    <xf numFmtId="49" fontId="67" fillId="0" borderId="0" xfId="0" applyNumberFormat="1" applyFont="1" applyBorder="1" applyAlignment="1" applyProtection="1">
      <alignment horizontal="center"/>
    </xf>
    <xf numFmtId="3" fontId="70" fillId="0" borderId="0" xfId="1" applyNumberFormat="1" applyFont="1" applyFill="1" applyBorder="1" applyAlignment="1" applyProtection="1">
      <alignment horizontal="left"/>
    </xf>
    <xf numFmtId="0" fontId="67" fillId="16" borderId="0" xfId="0" applyFont="1" applyFill="1" applyBorder="1" applyAlignment="1" applyProtection="1">
      <alignment horizontal="left"/>
    </xf>
    <xf numFmtId="0" fontId="67" fillId="0" borderId="0" xfId="0" applyFont="1" applyBorder="1" applyAlignment="1" applyProtection="1">
      <alignment horizontal="right"/>
    </xf>
    <xf numFmtId="10" fontId="67" fillId="0" borderId="0" xfId="0" applyNumberFormat="1" applyFont="1" applyBorder="1" applyAlignment="1" applyProtection="1">
      <alignment horizontal="right"/>
    </xf>
    <xf numFmtId="2" fontId="67" fillId="9" borderId="0" xfId="0" applyNumberFormat="1" applyFont="1" applyFill="1" applyBorder="1" applyAlignment="1" applyProtection="1">
      <alignment horizontal="left"/>
      <protection locked="0"/>
    </xf>
    <xf numFmtId="0" fontId="90" fillId="0" borderId="0" xfId="0" applyFont="1" applyFill="1" applyBorder="1" applyAlignment="1" applyProtection="1">
      <alignment horizontal="left"/>
    </xf>
    <xf numFmtId="2" fontId="67" fillId="0" borderId="0" xfId="0" applyNumberFormat="1" applyFont="1" applyFill="1" applyBorder="1" applyAlignment="1" applyProtection="1">
      <alignment horizontal="left"/>
      <protection locked="0"/>
    </xf>
    <xf numFmtId="2" fontId="90" fillId="0" borderId="0" xfId="0" applyNumberFormat="1" applyFont="1" applyBorder="1" applyAlignment="1" applyProtection="1">
      <alignment horizontal="left"/>
    </xf>
    <xf numFmtId="2" fontId="90" fillId="0" borderId="0" xfId="0" applyNumberFormat="1" applyFont="1" applyFill="1" applyBorder="1" applyAlignment="1" applyProtection="1">
      <alignment horizontal="left"/>
    </xf>
    <xf numFmtId="173" fontId="67" fillId="9" borderId="0" xfId="0" applyNumberFormat="1" applyFont="1" applyFill="1" applyBorder="1" applyAlignment="1" applyProtection="1">
      <alignment horizontal="left"/>
      <protection locked="0"/>
    </xf>
    <xf numFmtId="2" fontId="67" fillId="0" borderId="0" xfId="0" applyNumberFormat="1" applyFont="1" applyBorder="1" applyAlignment="1" applyProtection="1">
      <alignment horizontal="left"/>
    </xf>
    <xf numFmtId="0" fontId="89" fillId="0" borderId="0" xfId="0" applyFont="1" applyBorder="1" applyAlignment="1">
      <alignment horizontal="left"/>
    </xf>
    <xf numFmtId="0" fontId="65" fillId="0" borderId="0" xfId="0" applyFont="1" applyBorder="1" applyAlignment="1" applyProtection="1">
      <alignment horizontal="left"/>
    </xf>
    <xf numFmtId="0" fontId="91" fillId="0" borderId="0" xfId="0" applyFont="1" applyBorder="1" applyAlignment="1" applyProtection="1">
      <alignment horizontal="left"/>
    </xf>
    <xf numFmtId="4" fontId="67" fillId="0" borderId="0" xfId="0" applyNumberFormat="1" applyFont="1" applyBorder="1" applyAlignment="1" applyProtection="1">
      <alignment horizontal="left"/>
    </xf>
    <xf numFmtId="3" fontId="67" fillId="12" borderId="0" xfId="0" applyNumberFormat="1" applyFont="1" applyFill="1" applyBorder="1" applyAlignment="1" applyProtection="1">
      <alignment horizontal="left"/>
    </xf>
    <xf numFmtId="0" fontId="92" fillId="0" borderId="0" xfId="0" applyFont="1" applyBorder="1" applyAlignment="1" applyProtection="1">
      <alignment horizontal="left"/>
    </xf>
    <xf numFmtId="0" fontId="92" fillId="0" borderId="0" xfId="0" applyFont="1" applyFill="1" applyBorder="1" applyAlignment="1" applyProtection="1">
      <alignment horizontal="left"/>
    </xf>
    <xf numFmtId="172" fontId="92" fillId="0" borderId="0" xfId="0" applyNumberFormat="1" applyFont="1" applyBorder="1" applyAlignment="1" applyProtection="1">
      <alignment horizontal="left"/>
    </xf>
    <xf numFmtId="3" fontId="92" fillId="0" borderId="0" xfId="0" applyNumberFormat="1" applyFont="1" applyFill="1" applyBorder="1" applyAlignment="1" applyProtection="1">
      <alignment horizontal="left"/>
    </xf>
    <xf numFmtId="172" fontId="67" fillId="0" borderId="0" xfId="0" applyNumberFormat="1" applyFont="1" applyBorder="1" applyAlignment="1" applyProtection="1">
      <alignment horizontal="left"/>
    </xf>
    <xf numFmtId="0" fontId="67" fillId="0" borderId="0" xfId="0" applyFont="1" applyProtection="1"/>
    <xf numFmtId="0" fontId="67" fillId="0" borderId="0" xfId="0" applyFont="1" applyAlignment="1" applyProtection="1">
      <alignment horizontal="left"/>
    </xf>
    <xf numFmtId="0" fontId="68" fillId="0" borderId="0" xfId="0" applyFont="1" applyAlignment="1" applyProtection="1">
      <alignment horizontal="left"/>
    </xf>
    <xf numFmtId="14" fontId="67" fillId="0" borderId="0" xfId="0" applyNumberFormat="1" applyFont="1" applyBorder="1" applyAlignment="1">
      <alignment horizontal="left"/>
    </xf>
    <xf numFmtId="10" fontId="67" fillId="12" borderId="0" xfId="0" applyNumberFormat="1" applyFont="1" applyFill="1" applyBorder="1" applyAlignment="1" applyProtection="1">
      <alignment horizontal="left"/>
    </xf>
    <xf numFmtId="0" fontId="7" fillId="10" borderId="0" xfId="0" applyFont="1" applyFill="1" applyBorder="1" applyProtection="1"/>
    <xf numFmtId="0" fontId="7" fillId="4" borderId="36" xfId="0" applyFont="1" applyFill="1" applyBorder="1" applyProtection="1"/>
    <xf numFmtId="0" fontId="7" fillId="4" borderId="37" xfId="0" applyFont="1" applyFill="1" applyBorder="1" applyProtection="1"/>
    <xf numFmtId="0" fontId="7" fillId="4" borderId="37" xfId="0" applyFont="1" applyFill="1" applyBorder="1" applyAlignment="1" applyProtection="1">
      <alignment horizontal="left"/>
    </xf>
    <xf numFmtId="0" fontId="7" fillId="4" borderId="37" xfId="0" applyFont="1" applyFill="1" applyBorder="1" applyAlignment="1" applyProtection="1">
      <alignment horizontal="center"/>
    </xf>
    <xf numFmtId="0" fontId="7" fillId="4" borderId="38" xfId="0" applyFont="1" applyFill="1" applyBorder="1" applyProtection="1"/>
    <xf numFmtId="0" fontId="7" fillId="4" borderId="39" xfId="0" applyFont="1" applyFill="1" applyBorder="1" applyProtection="1"/>
    <xf numFmtId="0" fontId="7" fillId="4" borderId="40" xfId="0" applyFont="1" applyFill="1" applyBorder="1" applyProtection="1"/>
    <xf numFmtId="0" fontId="62" fillId="4" borderId="39" xfId="0" applyFont="1" applyFill="1" applyBorder="1" applyProtection="1"/>
    <xf numFmtId="0" fontId="62" fillId="4" borderId="40" xfId="0" applyFont="1" applyFill="1" applyBorder="1" applyProtection="1"/>
    <xf numFmtId="0" fontId="60" fillId="4" borderId="39" xfId="0" applyFont="1" applyFill="1" applyBorder="1" applyProtection="1"/>
    <xf numFmtId="0" fontId="60" fillId="4" borderId="40" xfId="0" applyFont="1" applyFill="1" applyBorder="1" applyProtection="1"/>
    <xf numFmtId="0" fontId="8" fillId="4" borderId="39" xfId="0" applyFont="1" applyFill="1" applyBorder="1" applyProtection="1"/>
    <xf numFmtId="0" fontId="8" fillId="4" borderId="40" xfId="0" applyFont="1" applyFill="1" applyBorder="1" applyProtection="1"/>
    <xf numFmtId="0" fontId="9" fillId="4" borderId="39" xfId="0" applyFont="1" applyFill="1" applyBorder="1" applyProtection="1"/>
    <xf numFmtId="0" fontId="9" fillId="4" borderId="40" xfId="0" applyFont="1" applyFill="1" applyBorder="1" applyProtection="1"/>
    <xf numFmtId="0" fontId="35" fillId="4" borderId="40" xfId="0" applyFont="1" applyFill="1" applyBorder="1" applyProtection="1"/>
    <xf numFmtId="0" fontId="35" fillId="4" borderId="39" xfId="0" applyFont="1" applyFill="1" applyBorder="1" applyProtection="1"/>
    <xf numFmtId="0" fontId="7" fillId="4" borderId="41" xfId="0" applyFont="1" applyFill="1" applyBorder="1" applyProtection="1"/>
    <xf numFmtId="0" fontId="7" fillId="4" borderId="42" xfId="0" applyFont="1" applyFill="1" applyBorder="1" applyProtection="1"/>
    <xf numFmtId="0" fontId="7" fillId="4" borderId="42" xfId="0" applyFont="1" applyFill="1" applyBorder="1" applyAlignment="1" applyProtection="1">
      <alignment horizontal="left"/>
    </xf>
    <xf numFmtId="0" fontId="7" fillId="4" borderId="42" xfId="0" applyFont="1" applyFill="1" applyBorder="1" applyAlignment="1" applyProtection="1">
      <alignment horizontal="center"/>
    </xf>
    <xf numFmtId="166" fontId="7" fillId="4" borderId="42" xfId="0" applyNumberFormat="1" applyFont="1" applyFill="1" applyBorder="1" applyProtection="1"/>
    <xf numFmtId="0" fontId="49" fillId="4" borderId="42" xfId="0" applyFont="1" applyFill="1" applyBorder="1" applyProtection="1"/>
    <xf numFmtId="0" fontId="8" fillId="4" borderId="42" xfId="0" applyFont="1" applyFill="1" applyBorder="1" applyProtection="1"/>
    <xf numFmtId="0" fontId="7" fillId="4" borderId="43" xfId="0" applyFont="1" applyFill="1" applyBorder="1" applyProtection="1"/>
    <xf numFmtId="0" fontId="8" fillId="10" borderId="0" xfId="0" applyFont="1" applyFill="1" applyProtection="1"/>
    <xf numFmtId="0" fontId="35" fillId="10" borderId="0" xfId="0" applyFont="1" applyFill="1" applyProtection="1"/>
    <xf numFmtId="0" fontId="16" fillId="7" borderId="1" xfId="0" applyFont="1" applyFill="1" applyBorder="1" applyProtection="1"/>
    <xf numFmtId="0" fontId="48" fillId="7" borderId="0" xfId="0" applyFont="1" applyFill="1" applyBorder="1" applyAlignment="1" applyProtection="1">
      <alignment horizontal="center"/>
    </xf>
    <xf numFmtId="0" fontId="8" fillId="7" borderId="32" xfId="0" applyFont="1" applyFill="1" applyBorder="1" applyAlignment="1" applyProtection="1">
      <alignment horizontal="left"/>
    </xf>
    <xf numFmtId="0" fontId="48" fillId="7" borderId="32" xfId="0" applyFont="1" applyFill="1" applyBorder="1" applyProtection="1"/>
    <xf numFmtId="0" fontId="48" fillId="7" borderId="32" xfId="0" applyFont="1" applyFill="1" applyBorder="1" applyAlignment="1" applyProtection="1">
      <alignment horizontal="center"/>
    </xf>
    <xf numFmtId="0" fontId="8" fillId="7" borderId="33" xfId="0" applyFont="1" applyFill="1" applyBorder="1" applyProtection="1"/>
    <xf numFmtId="0" fontId="8" fillId="7" borderId="31" xfId="0" applyFont="1" applyFill="1" applyBorder="1" applyProtection="1"/>
    <xf numFmtId="0" fontId="8" fillId="7" borderId="0" xfId="0" applyFont="1" applyFill="1" applyBorder="1" applyAlignment="1" applyProtection="1">
      <alignment horizontal="left"/>
    </xf>
    <xf numFmtId="4" fontId="8" fillId="7" borderId="0" xfId="0" applyNumberFormat="1" applyFont="1" applyFill="1" applyBorder="1" applyProtection="1"/>
    <xf numFmtId="0" fontId="48" fillId="7" borderId="35" xfId="0" applyFont="1" applyFill="1" applyBorder="1" applyProtection="1"/>
    <xf numFmtId="0" fontId="48" fillId="7" borderId="35" xfId="0" applyFont="1" applyFill="1" applyBorder="1" applyAlignment="1" applyProtection="1">
      <alignment horizontal="center"/>
    </xf>
    <xf numFmtId="0" fontId="48" fillId="10" borderId="0" xfId="0" applyFont="1" applyFill="1" applyBorder="1" applyProtection="1"/>
    <xf numFmtId="166" fontId="9" fillId="10" borderId="0" xfId="0" applyNumberFormat="1" applyFont="1" applyFill="1" applyBorder="1" applyProtection="1"/>
    <xf numFmtId="44" fontId="35" fillId="7" borderId="1" xfId="0" applyNumberFormat="1" applyFont="1" applyFill="1" applyBorder="1" applyAlignment="1" applyProtection="1">
      <alignment horizontal="left"/>
    </xf>
    <xf numFmtId="0" fontId="16" fillId="7" borderId="1" xfId="0" applyFont="1" applyFill="1" applyBorder="1" applyAlignment="1" applyProtection="1">
      <alignment horizontal="left"/>
    </xf>
    <xf numFmtId="0" fontId="16" fillId="7" borderId="1" xfId="0" applyFont="1" applyFill="1" applyBorder="1" applyAlignment="1" applyProtection="1">
      <alignment horizontal="center"/>
    </xf>
    <xf numFmtId="10" fontId="35" fillId="7" borderId="1" xfId="0" applyNumberFormat="1" applyFont="1" applyFill="1" applyBorder="1" applyAlignment="1" applyProtection="1">
      <alignment horizontal="center"/>
    </xf>
    <xf numFmtId="9" fontId="35" fillId="7" borderId="1" xfId="0" applyNumberFormat="1" applyFont="1" applyFill="1" applyBorder="1" applyAlignment="1" applyProtection="1">
      <alignment horizontal="center"/>
    </xf>
    <xf numFmtId="0" fontId="16" fillId="7" borderId="32" xfId="0" applyFont="1" applyFill="1" applyBorder="1" applyAlignment="1" applyProtection="1"/>
    <xf numFmtId="179" fontId="7" fillId="13" borderId="0" xfId="3" applyNumberFormat="1" applyFont="1" applyFill="1" applyProtection="1"/>
    <xf numFmtId="166" fontId="9" fillId="14" borderId="1" xfId="0" applyNumberFormat="1" applyFont="1" applyFill="1" applyBorder="1" applyProtection="1"/>
    <xf numFmtId="177" fontId="8" fillId="12" borderId="1" xfId="0" applyNumberFormat="1" applyFont="1" applyFill="1" applyBorder="1" applyProtection="1"/>
    <xf numFmtId="177" fontId="9" fillId="12" borderId="1" xfId="0" applyNumberFormat="1" applyFont="1" applyFill="1" applyBorder="1" applyProtection="1"/>
    <xf numFmtId="177" fontId="9" fillId="14" borderId="1" xfId="0" applyNumberFormat="1" applyFont="1" applyFill="1" applyBorder="1" applyProtection="1"/>
    <xf numFmtId="177" fontId="35" fillId="12" borderId="1" xfId="0" applyNumberFormat="1" applyFont="1" applyFill="1" applyBorder="1" applyProtection="1"/>
    <xf numFmtId="177" fontId="8" fillId="7" borderId="28" xfId="0" applyNumberFormat="1" applyFont="1" applyFill="1" applyBorder="1" applyProtection="1"/>
    <xf numFmtId="177" fontId="8" fillId="7" borderId="35" xfId="0" applyNumberFormat="1" applyFont="1" applyFill="1" applyBorder="1" applyProtection="1"/>
    <xf numFmtId="177" fontId="8" fillId="7" borderId="0" xfId="0" applyNumberFormat="1" applyFont="1" applyFill="1" applyBorder="1" applyProtection="1"/>
    <xf numFmtId="177" fontId="80" fillId="7" borderId="1" xfId="0" applyNumberFormat="1" applyFont="1" applyFill="1" applyBorder="1" applyAlignment="1" applyProtection="1">
      <alignment horizontal="center"/>
    </xf>
    <xf numFmtId="177" fontId="48" fillId="12" borderId="1" xfId="3" applyNumberFormat="1" applyFont="1" applyFill="1" applyBorder="1" applyAlignment="1" applyProtection="1">
      <alignment horizontal="center"/>
    </xf>
    <xf numFmtId="177" fontId="8" fillId="0" borderId="1" xfId="0" applyNumberFormat="1" applyFont="1" applyFill="1" applyBorder="1" applyProtection="1">
      <protection locked="0"/>
    </xf>
    <xf numFmtId="177" fontId="9" fillId="14" borderId="1" xfId="3" applyNumberFormat="1" applyFont="1" applyFill="1" applyBorder="1" applyAlignment="1" applyProtection="1">
      <alignment horizontal="center"/>
    </xf>
    <xf numFmtId="177" fontId="48" fillId="12" borderId="1" xfId="0" applyNumberFormat="1" applyFont="1" applyFill="1" applyBorder="1" applyProtection="1"/>
    <xf numFmtId="177" fontId="35" fillId="12" borderId="1" xfId="0" applyNumberFormat="1" applyFont="1" applyFill="1" applyBorder="1" applyAlignment="1" applyProtection="1">
      <alignment horizontal="left"/>
    </xf>
    <xf numFmtId="177" fontId="10" fillId="7" borderId="1" xfId="0" applyNumberFormat="1" applyFont="1" applyFill="1" applyBorder="1" applyAlignment="1" applyProtection="1">
      <alignment horizontal="left"/>
    </xf>
    <xf numFmtId="177" fontId="8" fillId="7" borderId="1" xfId="0" applyNumberFormat="1" applyFont="1" applyFill="1" applyBorder="1" applyAlignment="1" applyProtection="1">
      <alignment horizontal="center"/>
    </xf>
    <xf numFmtId="177" fontId="10" fillId="14" borderId="1" xfId="0" applyNumberFormat="1" applyFont="1" applyFill="1" applyBorder="1" applyProtection="1"/>
    <xf numFmtId="177" fontId="16" fillId="14" borderId="1" xfId="0" applyNumberFormat="1" applyFont="1" applyFill="1" applyBorder="1" applyProtection="1"/>
    <xf numFmtId="0" fontId="9" fillId="7" borderId="32" xfId="0" applyFont="1" applyFill="1" applyBorder="1" applyAlignment="1" applyProtection="1">
      <alignment horizontal="right"/>
    </xf>
    <xf numFmtId="0" fontId="9" fillId="10" borderId="0" xfId="0" applyFont="1" applyFill="1" applyBorder="1" applyAlignment="1" applyProtection="1">
      <alignment horizontal="right"/>
    </xf>
    <xf numFmtId="0" fontId="10" fillId="10" borderId="0" xfId="0" applyFont="1" applyFill="1" applyBorder="1" applyAlignment="1" applyProtection="1">
      <alignment horizontal="left"/>
    </xf>
    <xf numFmtId="177" fontId="8" fillId="10" borderId="0" xfId="0" applyNumberFormat="1" applyFont="1" applyFill="1" applyBorder="1" applyProtection="1"/>
    <xf numFmtId="177" fontId="10" fillId="14" borderId="1" xfId="0" applyNumberFormat="1" applyFont="1" applyFill="1" applyBorder="1" applyAlignment="1" applyProtection="1">
      <alignment horizontal="right"/>
    </xf>
    <xf numFmtId="0" fontId="23" fillId="10" borderId="0" xfId="0" applyFont="1" applyFill="1"/>
    <xf numFmtId="0" fontId="23" fillId="10" borderId="0" xfId="0" applyFont="1" applyFill="1" applyBorder="1"/>
    <xf numFmtId="0" fontId="32" fillId="10" borderId="0" xfId="0" applyFont="1" applyFill="1" applyBorder="1"/>
    <xf numFmtId="0" fontId="76" fillId="10" borderId="0" xfId="0" applyFont="1" applyFill="1" applyBorder="1"/>
    <xf numFmtId="0" fontId="50" fillId="10" borderId="0" xfId="0" applyFont="1" applyFill="1" applyBorder="1"/>
    <xf numFmtId="0" fontId="61" fillId="10" borderId="0" xfId="0" applyFont="1" applyFill="1" applyBorder="1" applyAlignment="1">
      <alignment horizontal="center"/>
    </xf>
    <xf numFmtId="0" fontId="32" fillId="10" borderId="0" xfId="0" applyFont="1" applyFill="1" applyBorder="1" applyAlignment="1">
      <alignment horizontal="right"/>
    </xf>
    <xf numFmtId="0" fontId="32" fillId="10" borderId="0" xfId="0" applyFont="1" applyFill="1"/>
    <xf numFmtId="0" fontId="77" fillId="10" borderId="0" xfId="0" applyFont="1" applyFill="1" applyBorder="1" applyAlignment="1">
      <alignment horizontal="left"/>
    </xf>
    <xf numFmtId="0" fontId="24" fillId="10" borderId="0" xfId="0" applyFont="1" applyFill="1" applyBorder="1" applyAlignment="1">
      <alignment horizontal="right"/>
    </xf>
    <xf numFmtId="0" fontId="24" fillId="10" borderId="0" xfId="0" applyFont="1" applyFill="1" applyBorder="1"/>
    <xf numFmtId="0" fontId="34" fillId="10" borderId="0" xfId="0" applyFont="1" applyFill="1" applyBorder="1"/>
    <xf numFmtId="0" fontId="9" fillId="10" borderId="0" xfId="0" applyFont="1" applyFill="1" applyBorder="1" applyAlignment="1">
      <alignment horizontal="center"/>
    </xf>
    <xf numFmtId="0" fontId="35" fillId="10" borderId="0" xfId="0" applyFont="1" applyFill="1" applyBorder="1"/>
    <xf numFmtId="10" fontId="8" fillId="10" borderId="0" xfId="0" applyNumberFormat="1" applyFont="1" applyFill="1" applyBorder="1" applyAlignment="1">
      <alignment horizontal="left"/>
    </xf>
    <xf numFmtId="0" fontId="8" fillId="10" borderId="34" xfId="0" applyFont="1" applyFill="1" applyBorder="1"/>
    <xf numFmtId="0" fontId="8" fillId="10" borderId="0" xfId="0" applyFont="1" applyFill="1"/>
    <xf numFmtId="166" fontId="8" fillId="10" borderId="0" xfId="0" applyNumberFormat="1" applyFont="1" applyFill="1" applyBorder="1"/>
    <xf numFmtId="0" fontId="73" fillId="10" borderId="0" xfId="0" applyFont="1" applyFill="1" applyBorder="1"/>
    <xf numFmtId="166" fontId="73" fillId="10" borderId="0" xfId="0" applyNumberFormat="1" applyFont="1" applyFill="1" applyBorder="1"/>
    <xf numFmtId="0" fontId="71" fillId="10" borderId="0" xfId="0" applyFont="1" applyFill="1" applyBorder="1"/>
    <xf numFmtId="0" fontId="72" fillId="10" borderId="0" xfId="0" applyFont="1" applyFill="1" applyBorder="1"/>
    <xf numFmtId="0" fontId="24" fillId="10" borderId="0" xfId="0" applyFont="1" applyFill="1" applyAlignment="1">
      <alignment horizontal="right"/>
    </xf>
    <xf numFmtId="0" fontId="2" fillId="10" borderId="0" xfId="1" applyFill="1" applyBorder="1" applyAlignment="1" applyProtection="1"/>
    <xf numFmtId="0" fontId="36" fillId="10" borderId="0" xfId="1" applyFont="1" applyFill="1" applyBorder="1" applyAlignment="1" applyProtection="1"/>
    <xf numFmtId="0" fontId="23" fillId="10" borderId="36" xfId="0" applyFont="1" applyFill="1" applyBorder="1"/>
    <xf numFmtId="0" fontId="23" fillId="10" borderId="37" xfId="0" applyFont="1" applyFill="1" applyBorder="1"/>
    <xf numFmtId="0" fontId="23" fillId="10" borderId="38" xfId="0" applyFont="1" applyFill="1" applyBorder="1"/>
    <xf numFmtId="0" fontId="23" fillId="10" borderId="39" xfId="0" applyFont="1" applyFill="1" applyBorder="1"/>
    <xf numFmtId="0" fontId="23" fillId="10" borderId="40" xfId="0" applyFont="1" applyFill="1" applyBorder="1"/>
    <xf numFmtId="0" fontId="32" fillId="10" borderId="39" xfId="0" applyFont="1" applyFill="1" applyBorder="1"/>
    <xf numFmtId="0" fontId="32" fillId="10" borderId="40" xfId="0" applyFont="1" applyFill="1" applyBorder="1"/>
    <xf numFmtId="0" fontId="34" fillId="10" borderId="40" xfId="0" applyFont="1" applyFill="1" applyBorder="1"/>
    <xf numFmtId="0" fontId="8" fillId="10" borderId="39" xfId="0" applyFont="1" applyFill="1" applyBorder="1"/>
    <xf numFmtId="0" fontId="8" fillId="10" borderId="40" xfId="0" applyFont="1" applyFill="1" applyBorder="1"/>
    <xf numFmtId="0" fontId="69" fillId="10" borderId="0" xfId="0" applyFont="1" applyFill="1" applyBorder="1"/>
    <xf numFmtId="0" fontId="67" fillId="10" borderId="0" xfId="0" applyFont="1" applyFill="1" applyBorder="1"/>
    <xf numFmtId="0" fontId="9" fillId="10" borderId="39" xfId="0" applyFont="1" applyFill="1" applyBorder="1" applyAlignment="1">
      <alignment horizontal="right"/>
    </xf>
    <xf numFmtId="0" fontId="20" fillId="10" borderId="40" xfId="0" applyFont="1" applyFill="1" applyBorder="1" applyAlignment="1" applyProtection="1">
      <alignment horizontal="right"/>
    </xf>
    <xf numFmtId="0" fontId="8" fillId="10" borderId="41" xfId="0" applyFont="1" applyFill="1" applyBorder="1"/>
    <xf numFmtId="0" fontId="9" fillId="10" borderId="42" xfId="0" applyFont="1" applyFill="1" applyBorder="1"/>
    <xf numFmtId="0" fontId="8" fillId="10" borderId="42" xfId="0" applyFont="1" applyFill="1" applyBorder="1"/>
    <xf numFmtId="0" fontId="70" fillId="10" borderId="42" xfId="1" applyFont="1" applyFill="1" applyBorder="1" applyAlignment="1" applyProtection="1"/>
    <xf numFmtId="0" fontId="23" fillId="10" borderId="43" xfId="0" applyFont="1" applyFill="1" applyBorder="1"/>
    <xf numFmtId="174" fontId="16" fillId="14" borderId="33" xfId="2" applyNumberFormat="1" applyFont="1" applyFill="1" applyBorder="1" applyAlignment="1" applyProtection="1">
      <alignment horizontal="center"/>
    </xf>
    <xf numFmtId="0" fontId="0" fillId="0" borderId="31" xfId="0" applyBorder="1" applyAlignment="1">
      <alignment horizontal="center"/>
    </xf>
    <xf numFmtId="166" fontId="16" fillId="5" borderId="14" xfId="0" applyNumberFormat="1" applyFont="1" applyFill="1" applyBorder="1" applyAlignment="1" applyProtection="1">
      <protection locked="0"/>
    </xf>
    <xf numFmtId="0" fontId="16" fillId="5" borderId="14" xfId="0" applyFont="1" applyFill="1" applyBorder="1" applyAlignment="1" applyProtection="1">
      <protection locked="0"/>
    </xf>
    <xf numFmtId="0" fontId="15" fillId="4" borderId="0" xfId="0" applyFont="1" applyFill="1" applyBorder="1" applyAlignment="1" applyProtection="1">
      <alignment horizontal="left"/>
      <protection locked="0"/>
    </xf>
    <xf numFmtId="0" fontId="15" fillId="4" borderId="14" xfId="0" applyFont="1" applyFill="1" applyBorder="1" applyAlignment="1" applyProtection="1">
      <protection locked="0"/>
    </xf>
    <xf numFmtId="0" fontId="9" fillId="10" borderId="0" xfId="0" applyFont="1" applyFill="1" applyBorder="1" applyAlignment="1" applyProtection="1">
      <alignment horizontal="center"/>
    </xf>
    <xf numFmtId="0" fontId="44" fillId="10" borderId="0" xfId="0" applyFont="1" applyFill="1" applyBorder="1" applyAlignment="1" applyProtection="1">
      <alignment horizontal="center"/>
    </xf>
    <xf numFmtId="0" fontId="43" fillId="4" borderId="0" xfId="0" applyFont="1" applyFill="1" applyBorder="1" applyAlignment="1" applyProtection="1">
      <alignment horizontal="center"/>
    </xf>
    <xf numFmtId="0" fontId="43" fillId="0" borderId="0" xfId="0" applyFont="1" applyBorder="1" applyAlignment="1" applyProtection="1">
      <alignment horizontal="center"/>
    </xf>
  </cellXfs>
  <cellStyles count="5">
    <cellStyle name="Hyperlink" xfId="1" builtinId="8"/>
    <cellStyle name="Procent" xfId="2" builtinId="5"/>
    <cellStyle name="Standaard" xfId="0" builtinId="0"/>
    <cellStyle name="Standaard 2" xfId="4"/>
    <cellStyle name="Valuta" xfId="3" builtinId="4"/>
  </cellStyles>
  <dxfs count="0"/>
  <tableStyles count="0" defaultTableStyle="TableStyleMedium9"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200025</xdr:colOff>
      <xdr:row>2</xdr:row>
      <xdr:rowOff>114300</xdr:rowOff>
    </xdr:from>
    <xdr:to>
      <xdr:col>12</xdr:col>
      <xdr:colOff>590550</xdr:colOff>
      <xdr:row>4</xdr:row>
      <xdr:rowOff>38100</xdr:rowOff>
    </xdr:to>
    <xdr:pic>
      <xdr:nvPicPr>
        <xdr:cNvPr id="1433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43815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7471</xdr:colOff>
      <xdr:row>30</xdr:row>
      <xdr:rowOff>52294</xdr:rowOff>
    </xdr:from>
    <xdr:to>
      <xdr:col>20</xdr:col>
      <xdr:colOff>104588</xdr:colOff>
      <xdr:row>58</xdr:row>
      <xdr:rowOff>1</xdr:rowOff>
    </xdr:to>
    <xdr:sp macro="" textlink="">
      <xdr:nvSpPr>
        <xdr:cNvPr id="2" name="Tekstvak 1"/>
        <xdr:cNvSpPr txBox="1"/>
      </xdr:nvSpPr>
      <xdr:spPr>
        <a:xfrm>
          <a:off x="5610412" y="4848412"/>
          <a:ext cx="5072529" cy="43404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nl-NL" sz="1000" b="1" i="1">
            <a:solidFill>
              <a:schemeClr val="tx1">
                <a:lumMod val="50000"/>
                <a:lumOff val="50000"/>
              </a:schemeClr>
            </a:solidFill>
          </a:endParaRPr>
        </a:p>
        <a:p>
          <a:pPr marL="0" marR="0" indent="0" defTabSz="914400" eaLnBrk="1" fontAlgn="auto" latinLnBrk="0" hangingPunct="1">
            <a:lnSpc>
              <a:spcPct val="100000"/>
            </a:lnSpc>
            <a:spcBef>
              <a:spcPts val="0"/>
            </a:spcBef>
            <a:spcAft>
              <a:spcPts val="0"/>
            </a:spcAft>
            <a:buClrTx/>
            <a:buSzTx/>
            <a:buFontTx/>
            <a:buNone/>
            <a:tabLst/>
            <a:defRPr/>
          </a:pPr>
          <a:r>
            <a:rPr lang="nl-NL" sz="1000" b="1" i="1">
              <a:solidFill>
                <a:sysClr val="windowText" lastClr="000000"/>
              </a:solidFill>
            </a:rPr>
            <a:t>NB: </a:t>
          </a:r>
        </a:p>
        <a:p>
          <a:pPr marL="0" marR="0" indent="0" defTabSz="914400" eaLnBrk="1" fontAlgn="auto" latinLnBrk="0" hangingPunct="1">
            <a:lnSpc>
              <a:spcPct val="100000"/>
            </a:lnSpc>
            <a:spcBef>
              <a:spcPts val="0"/>
            </a:spcBef>
            <a:spcAft>
              <a:spcPts val="0"/>
            </a:spcAft>
            <a:buClrTx/>
            <a:buSzTx/>
            <a:buFontTx/>
            <a:buNone/>
            <a:tabLst/>
            <a:defRPr/>
          </a:pPr>
          <a:endParaRPr lang="nl-NL" sz="1000" b="1" i="1" baseline="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nl-NL" sz="1000" b="0" i="1" baseline="0">
              <a:solidFill>
                <a:sysClr val="windowText" lastClr="000000"/>
              </a:solidFill>
            </a:rPr>
            <a:t>- Sinds 1 augustus 2012 zijn de kosten die door de UWV vergoed worden niet meer zichtbaar (zie  toelichting), maar de kosten  die gemaakt worden voor o.a. zwangerschaps- en bevallingsverlof kunnen anders zijn dan de vergoeding die UWV  daarvoor verstrekt. </a:t>
          </a:r>
        </a:p>
        <a:p>
          <a:pPr marL="0" marR="0" indent="0" defTabSz="914400" eaLnBrk="1" fontAlgn="auto" latinLnBrk="0" hangingPunct="1">
            <a:lnSpc>
              <a:spcPct val="100000"/>
            </a:lnSpc>
            <a:spcBef>
              <a:spcPts val="0"/>
            </a:spcBef>
            <a:spcAft>
              <a:spcPts val="0"/>
            </a:spcAft>
            <a:buClrTx/>
            <a:buSzTx/>
            <a:buFontTx/>
            <a:buNone/>
            <a:tabLst/>
            <a:defRPr/>
          </a:pPr>
          <a:endParaRPr lang="nl-NL" sz="1000" b="0" i="1" baseline="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nl-NL" sz="1000" b="0" i="1" baseline="0">
              <a:solidFill>
                <a:sysClr val="windowText" lastClr="000000"/>
              </a:solidFill>
            </a:rPr>
            <a:t>- per 1 januari 2015 is de Vf-premie gedecentraliseerd verlof (artikel 8.7 en 8.8 van de CAO) komen te vervallen. Hierdoor kan </a:t>
          </a:r>
          <a:r>
            <a:rPr lang="nl-NL" sz="1000" b="0" i="1" baseline="0">
              <a:solidFill>
                <a:sysClr val="windowText" lastClr="000000"/>
              </a:solidFill>
              <a:effectLst/>
              <a:latin typeface="+mn-lt"/>
              <a:ea typeface="+mn-ea"/>
              <a:cs typeface="+mn-cs"/>
            </a:rPr>
            <a:t>dit verlof niet meer worden gedeclareerd bij het Vervangingsverlof (Vf), maar komen deze kosten (voor zover deze zich voordoen) volledig voor rekening van het schoolbestuur. </a:t>
          </a:r>
          <a:r>
            <a:rPr lang="nl-NL" sz="1000" b="1" i="1" baseline="0">
              <a:solidFill>
                <a:sysClr val="windowText" lastClr="000000"/>
              </a:solidFill>
              <a:effectLst/>
              <a:latin typeface="+mn-lt"/>
              <a:ea typeface="+mn-ea"/>
              <a:cs typeface="+mn-cs"/>
            </a:rPr>
            <a:t>Een schatting van deze kosten kan opgevoerd worden bij "l. eigen beleid". </a:t>
          </a:r>
          <a:endParaRPr lang="nl-NL" sz="1000" b="1" i="1" baseline="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endParaRPr lang="nl-NL" sz="1000" b="0" i="1" baseline="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nl-NL" sz="1000" b="0" i="1" baseline="0">
              <a:solidFill>
                <a:sysClr val="windowText" lastClr="000000"/>
              </a:solidFill>
            </a:rPr>
            <a:t>- Ook moet rekening gehouden worden met overige kosten die hier niet zijn opgenomen omdat ze per individu sterk  kunnen verschillen, zoals reis- en verblijfkosten, parkeervergoeding e.d.. Ga daarom na welke kosten bij uw bestuur ook nog gemaakt worden. </a:t>
          </a:r>
          <a:r>
            <a:rPr lang="nl-NL" sz="1000" b="1" i="1" baseline="0">
              <a:solidFill>
                <a:sysClr val="windowText" lastClr="000000"/>
              </a:solidFill>
              <a:effectLst/>
              <a:latin typeface="+mn-lt"/>
              <a:ea typeface="+mn-ea"/>
              <a:cs typeface="+mn-cs"/>
            </a:rPr>
            <a:t>Een schatting van deze kosten kan opgevoerd worden bij "l. eigen beleid". </a:t>
          </a:r>
          <a:r>
            <a:rPr lang="nl-NL" sz="1000" b="0" i="1">
              <a:solidFill>
                <a:sysClr val="windowText" lastClr="000000"/>
              </a:solidFill>
            </a:rPr>
            <a:t>Een bestuur dat voor het VF eigenrisicodrager is, dient de eigen kosten ziektevervanging hier ook op te voeren.</a:t>
          </a:r>
        </a:p>
        <a:p>
          <a:pPr marL="0" marR="0" indent="0" defTabSz="914400" eaLnBrk="1" fontAlgn="auto" latinLnBrk="0" hangingPunct="1">
            <a:lnSpc>
              <a:spcPct val="100000"/>
            </a:lnSpc>
            <a:spcBef>
              <a:spcPts val="0"/>
            </a:spcBef>
            <a:spcAft>
              <a:spcPts val="0"/>
            </a:spcAft>
            <a:buClrTx/>
            <a:buSzTx/>
            <a:buFontTx/>
            <a:buNone/>
            <a:tabLst/>
            <a:defRPr/>
          </a:pPr>
          <a:endParaRPr lang="nl-NL" sz="1000" b="0" i="1">
            <a:solidFill>
              <a:sysClr val="windowText" lastClr="000000"/>
            </a:solidFill>
          </a:endParaRPr>
        </a:p>
        <a:p>
          <a:r>
            <a:rPr lang="nl-NL" sz="1000" b="0" i="1">
              <a:solidFill>
                <a:sysClr val="windowText" lastClr="000000"/>
              </a:solidFill>
            </a:rPr>
            <a:t>- De pen</a:t>
          </a:r>
          <a:r>
            <a:rPr lang="nl-NL" sz="1000" i="1">
              <a:solidFill>
                <a:sysClr val="windowText" lastClr="000000"/>
              </a:solidFill>
              <a:effectLst/>
              <a:latin typeface="+mn-lt"/>
              <a:ea typeface="+mn-ea"/>
              <a:cs typeface="+mn-cs"/>
            </a:rPr>
            <a:t>sioenpremies</a:t>
          </a:r>
          <a:r>
            <a:rPr lang="nl-NL" sz="1000" i="1" baseline="0">
              <a:solidFill>
                <a:sysClr val="windowText" lastClr="000000"/>
              </a:solidFill>
              <a:effectLst/>
              <a:latin typeface="+mn-lt"/>
              <a:ea typeface="+mn-ea"/>
              <a:cs typeface="+mn-cs"/>
            </a:rPr>
            <a:t> zijn aangepast per 1 januari.</a:t>
          </a:r>
          <a:r>
            <a:rPr lang="nl-NL" sz="1000" i="1">
              <a:solidFill>
                <a:sysClr val="windowText" lastClr="000000"/>
              </a:solidFill>
              <a:effectLst/>
              <a:latin typeface="+mn-lt"/>
              <a:ea typeface="+mn-ea"/>
              <a:cs typeface="+mn-cs"/>
            </a:rPr>
            <a:t> Een wijziging van de pensioenpremies in de marktsector wordt via de referentiesystematiek meegenomen in de indexering van de personele bekostiging. </a:t>
          </a:r>
        </a:p>
        <a:p>
          <a:pPr marL="0" marR="0" indent="0" defTabSz="914400" eaLnBrk="1" fontAlgn="auto" latinLnBrk="0" hangingPunct="1">
            <a:lnSpc>
              <a:spcPct val="100000"/>
            </a:lnSpc>
            <a:spcBef>
              <a:spcPts val="0"/>
            </a:spcBef>
            <a:spcAft>
              <a:spcPts val="0"/>
            </a:spcAft>
            <a:buClrTx/>
            <a:buSzTx/>
            <a:buFontTx/>
            <a:buNone/>
            <a:tabLst/>
            <a:defRPr/>
          </a:pPr>
          <a:endParaRPr lang="nl-NL" sz="1000" b="0" i="1">
            <a:solidFill>
              <a:schemeClr val="tx1">
                <a:lumMod val="50000"/>
                <a:lumOff val="50000"/>
              </a:schemeClr>
            </a:solidFill>
          </a:endParaRPr>
        </a:p>
        <a:p>
          <a:endParaRPr lang="nl-NL" sz="1000" b="1" i="1">
            <a:solidFill>
              <a:schemeClr val="tx1">
                <a:lumMod val="50000"/>
                <a:lumOff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828675</xdr:colOff>
      <xdr:row>1</xdr:row>
      <xdr:rowOff>152400</xdr:rowOff>
    </xdr:from>
    <xdr:to>
      <xdr:col>10</xdr:col>
      <xdr:colOff>152400</xdr:colOff>
      <xdr:row>3</xdr:row>
      <xdr:rowOff>133350</xdr:rowOff>
    </xdr:to>
    <xdr:pic>
      <xdr:nvPicPr>
        <xdr:cNvPr id="413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1875" y="32385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104775</xdr:colOff>
      <xdr:row>2</xdr:row>
      <xdr:rowOff>114300</xdr:rowOff>
    </xdr:from>
    <xdr:to>
      <xdr:col>8</xdr:col>
      <xdr:colOff>161925</xdr:colOff>
      <xdr:row>4</xdr:row>
      <xdr:rowOff>38100</xdr:rowOff>
    </xdr:to>
    <xdr:pic>
      <xdr:nvPicPr>
        <xdr:cNvPr id="922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45720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76200</xdr:colOff>
      <xdr:row>2</xdr:row>
      <xdr:rowOff>0</xdr:rowOff>
    </xdr:from>
    <xdr:to>
      <xdr:col>8</xdr:col>
      <xdr:colOff>152400</xdr:colOff>
      <xdr:row>3</xdr:row>
      <xdr:rowOff>152400</xdr:rowOff>
    </xdr:to>
    <xdr:pic>
      <xdr:nvPicPr>
        <xdr:cNvPr id="615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95975" y="34290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lpdesk@poraad.n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salarisnet.nl/2017/09/inkomensafhankelijke-bijdrage-zorgverzekeringswet-stijgt-in-2018/" TargetMode="External"/><Relationship Id="rId3" Type="http://schemas.openxmlformats.org/officeDocument/2006/relationships/hyperlink" Target="https://www.vervangingsfonds.nl/over-ons/nieuws/actueel/premies-per-1-januari-2018-definitief-vastgesteld" TargetMode="External"/><Relationship Id="rId7" Type="http://schemas.openxmlformats.org/officeDocument/2006/relationships/hyperlink" Target="http://belastingschijven.net/belastingschijven-2018/" TargetMode="External"/><Relationship Id="rId2" Type="http://schemas.openxmlformats.org/officeDocument/2006/relationships/hyperlink" Target="https://www.participatiefonds.nl/artikelen/2017/premie-1-1-2018.html" TargetMode="External"/><Relationship Id="rId1" Type="http://schemas.openxmlformats.org/officeDocument/2006/relationships/hyperlink" Target="https://www.abp.nl/images/24.0006.18_premietabel_2018.pdf" TargetMode="External"/><Relationship Id="rId6" Type="http://schemas.openxmlformats.org/officeDocument/2006/relationships/hyperlink" Target="https://zoek.officielebekendmakingen.nl/stcrt-2017-49381.html" TargetMode="External"/><Relationship Id="rId11" Type="http://schemas.openxmlformats.org/officeDocument/2006/relationships/comments" Target="../comments6.xml"/><Relationship Id="rId5" Type="http://schemas.openxmlformats.org/officeDocument/2006/relationships/hyperlink" Target="https://www.salarisnet.nl/2017/11/premies-werknemers-en-volksverzekeringen-2018/" TargetMode="External"/><Relationship Id="rId10" Type="http://schemas.openxmlformats.org/officeDocument/2006/relationships/vmlDrawing" Target="../drawings/vmlDrawing6.vml"/><Relationship Id="rId4" Type="http://schemas.openxmlformats.org/officeDocument/2006/relationships/hyperlink" Target="https://www.salarisnet.nl/2017/11/premies-werknemers-en-volksverzekeringen-2018/"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13"/>
  <sheetViews>
    <sheetView zoomScale="85" zoomScaleNormal="85" workbookViewId="0">
      <selection activeCell="B2" sqref="B2"/>
    </sheetView>
  </sheetViews>
  <sheetFormatPr defaultColWidth="9.140625" defaultRowHeight="12.75" x14ac:dyDescent="0.2"/>
  <cols>
    <col min="1" max="1" width="3.7109375" style="658" customWidth="1"/>
    <col min="2" max="2" width="2.7109375" style="658" customWidth="1"/>
    <col min="3" max="4" width="9.140625" style="658"/>
    <col min="5" max="6" width="14.85546875" style="658" customWidth="1"/>
    <col min="7" max="11" width="9.140625" style="658"/>
    <col min="12" max="12" width="9.7109375" style="658" customWidth="1"/>
    <col min="13" max="13" width="9.140625" style="658"/>
    <col min="14" max="14" width="2.7109375" style="658" customWidth="1"/>
    <col min="15" max="16384" width="9.140625" style="658"/>
  </cols>
  <sheetData>
    <row r="2" spans="2:14" x14ac:dyDescent="0.2">
      <c r="B2" s="683"/>
      <c r="C2" s="684"/>
      <c r="D2" s="684"/>
      <c r="E2" s="684"/>
      <c r="F2" s="684"/>
      <c r="G2" s="684"/>
      <c r="H2" s="684"/>
      <c r="I2" s="684"/>
      <c r="J2" s="684"/>
      <c r="K2" s="684"/>
      <c r="L2" s="684"/>
      <c r="M2" s="684"/>
      <c r="N2" s="685"/>
    </row>
    <row r="3" spans="2:14" x14ac:dyDescent="0.2">
      <c r="B3" s="686"/>
      <c r="C3" s="659"/>
      <c r="D3" s="659"/>
      <c r="E3" s="659"/>
      <c r="F3" s="659"/>
      <c r="G3" s="659"/>
      <c r="H3" s="659"/>
      <c r="I3" s="659"/>
      <c r="J3" s="659"/>
      <c r="K3" s="659"/>
      <c r="L3" s="659"/>
      <c r="M3" s="659"/>
      <c r="N3" s="687"/>
    </row>
    <row r="4" spans="2:14" s="665" customFormat="1" ht="18.75" x14ac:dyDescent="0.3">
      <c r="B4" s="688"/>
      <c r="C4" s="661" t="s">
        <v>33</v>
      </c>
      <c r="D4" s="662"/>
      <c r="E4" s="662"/>
      <c r="F4" s="662"/>
      <c r="G4" s="662"/>
      <c r="H4" s="663"/>
      <c r="I4" s="660"/>
      <c r="J4" s="660"/>
      <c r="K4" s="660"/>
      <c r="L4" s="664"/>
      <c r="M4" s="660"/>
      <c r="N4" s="689"/>
    </row>
    <row r="5" spans="2:14" ht="15.75" x14ac:dyDescent="0.25">
      <c r="B5" s="686"/>
      <c r="C5" s="666" t="s">
        <v>393</v>
      </c>
      <c r="D5" s="659"/>
      <c r="E5" s="659"/>
      <c r="F5" s="659"/>
      <c r="G5" s="659"/>
      <c r="H5" s="659"/>
      <c r="I5" s="659"/>
      <c r="J5" s="659"/>
      <c r="K5" s="659"/>
      <c r="L5" s="667"/>
      <c r="M5" s="668"/>
      <c r="N5" s="690"/>
    </row>
    <row r="6" spans="2:14" x14ac:dyDescent="0.2">
      <c r="B6" s="686"/>
      <c r="C6" s="668"/>
      <c r="D6" s="659"/>
      <c r="E6" s="659"/>
      <c r="F6" s="659"/>
      <c r="G6" s="659"/>
      <c r="H6" s="659"/>
      <c r="I6" s="659"/>
      <c r="J6" s="659"/>
      <c r="K6" s="659"/>
      <c r="L6" s="667"/>
      <c r="M6" s="668"/>
      <c r="N6" s="690"/>
    </row>
    <row r="7" spans="2:14" x14ac:dyDescent="0.2">
      <c r="B7" s="686"/>
      <c r="C7" s="668"/>
      <c r="D7" s="659"/>
      <c r="E7" s="659"/>
      <c r="F7" s="659"/>
      <c r="G7" s="659"/>
      <c r="H7" s="659"/>
      <c r="I7" s="659"/>
      <c r="J7" s="659"/>
      <c r="K7" s="659"/>
      <c r="L7" s="667"/>
      <c r="M7" s="668"/>
      <c r="N7" s="690"/>
    </row>
    <row r="8" spans="2:14" x14ac:dyDescent="0.2">
      <c r="B8" s="686"/>
      <c r="C8" s="668"/>
      <c r="D8" s="659"/>
      <c r="E8" s="659"/>
      <c r="F8" s="659"/>
      <c r="G8" s="659"/>
      <c r="H8" s="659"/>
      <c r="I8" s="659"/>
      <c r="J8" s="659"/>
      <c r="K8" s="659"/>
      <c r="L8" s="667"/>
      <c r="M8" s="668"/>
      <c r="N8" s="690"/>
    </row>
    <row r="9" spans="2:14" x14ac:dyDescent="0.2">
      <c r="B9" s="691"/>
      <c r="C9" s="352" t="s">
        <v>35</v>
      </c>
      <c r="D9" s="352"/>
      <c r="E9" s="352"/>
      <c r="F9" s="352"/>
      <c r="G9" s="670" t="s">
        <v>204</v>
      </c>
      <c r="H9" s="659"/>
      <c r="I9" s="352"/>
      <c r="J9" s="352"/>
      <c r="K9" s="352"/>
      <c r="L9" s="352"/>
      <c r="M9" s="352"/>
      <c r="N9" s="690"/>
    </row>
    <row r="10" spans="2:14" x14ac:dyDescent="0.2">
      <c r="B10" s="691"/>
      <c r="C10" s="352" t="s">
        <v>227</v>
      </c>
      <c r="D10" s="352"/>
      <c r="E10" s="352"/>
      <c r="F10" s="352"/>
      <c r="G10" s="352"/>
      <c r="H10" s="352"/>
      <c r="I10" s="352"/>
      <c r="J10" s="352"/>
      <c r="K10" s="352"/>
      <c r="L10" s="352"/>
      <c r="M10" s="352"/>
      <c r="N10" s="687"/>
    </row>
    <row r="11" spans="2:14" x14ac:dyDescent="0.2">
      <c r="B11" s="691"/>
      <c r="C11" s="352"/>
      <c r="D11" s="352"/>
      <c r="E11" s="352"/>
      <c r="F11" s="352"/>
      <c r="G11" s="352"/>
      <c r="H11" s="352"/>
      <c r="I11" s="352"/>
      <c r="J11" s="352"/>
      <c r="K11" s="352"/>
      <c r="L11" s="352"/>
      <c r="M11" s="352"/>
      <c r="N11" s="687"/>
    </row>
    <row r="12" spans="2:14" x14ac:dyDescent="0.2">
      <c r="B12" s="691"/>
      <c r="C12" s="352" t="s">
        <v>320</v>
      </c>
      <c r="D12" s="352"/>
      <c r="E12" s="352"/>
      <c r="F12" s="352"/>
      <c r="G12" s="352"/>
      <c r="H12" s="352"/>
      <c r="I12" s="352"/>
      <c r="J12" s="352"/>
      <c r="K12" s="352"/>
      <c r="L12" s="352"/>
      <c r="M12" s="352"/>
      <c r="N12" s="687"/>
    </row>
    <row r="13" spans="2:14" x14ac:dyDescent="0.2">
      <c r="B13" s="691"/>
      <c r="C13" s="352" t="s">
        <v>384</v>
      </c>
      <c r="D13" s="352"/>
      <c r="E13" s="352"/>
      <c r="F13" s="352"/>
      <c r="G13" s="352"/>
      <c r="H13" s="352"/>
      <c r="I13" s="352"/>
      <c r="J13" s="352"/>
      <c r="K13" s="352"/>
      <c r="L13" s="352"/>
      <c r="M13" s="352"/>
      <c r="N13" s="687"/>
    </row>
    <row r="14" spans="2:14" x14ac:dyDescent="0.2">
      <c r="B14" s="691"/>
      <c r="C14" s="352" t="s">
        <v>368</v>
      </c>
      <c r="D14" s="352"/>
      <c r="E14" s="352"/>
      <c r="F14" s="352"/>
      <c r="G14" s="352"/>
      <c r="H14" s="352"/>
      <c r="I14" s="352"/>
      <c r="J14" s="352"/>
      <c r="K14" s="352"/>
      <c r="L14" s="352"/>
      <c r="M14" s="352"/>
      <c r="N14" s="687"/>
    </row>
    <row r="15" spans="2:14" x14ac:dyDescent="0.2">
      <c r="B15" s="691"/>
      <c r="C15" s="352"/>
      <c r="D15" s="352"/>
      <c r="E15" s="352"/>
      <c r="F15" s="352"/>
      <c r="G15" s="352"/>
      <c r="H15" s="352"/>
      <c r="I15" s="352"/>
      <c r="J15" s="352"/>
      <c r="K15" s="352"/>
      <c r="L15" s="352"/>
      <c r="M15" s="352"/>
      <c r="N15" s="687"/>
    </row>
    <row r="16" spans="2:14" x14ac:dyDescent="0.2">
      <c r="B16" s="691"/>
      <c r="C16" s="352" t="s">
        <v>390</v>
      </c>
      <c r="D16" s="352"/>
      <c r="E16" s="352"/>
      <c r="F16" s="352"/>
      <c r="G16" s="352"/>
      <c r="H16" s="352"/>
      <c r="I16" s="352"/>
      <c r="J16" s="352"/>
      <c r="K16" s="352"/>
      <c r="L16" s="352"/>
      <c r="M16" s="352"/>
      <c r="N16" s="687"/>
    </row>
    <row r="17" spans="2:14" x14ac:dyDescent="0.2">
      <c r="B17" s="691"/>
      <c r="C17" s="352" t="s">
        <v>345</v>
      </c>
      <c r="D17" s="352"/>
      <c r="E17" s="352"/>
      <c r="F17" s="352"/>
      <c r="G17" s="352"/>
      <c r="H17" s="352"/>
      <c r="I17" s="352"/>
      <c r="J17" s="352"/>
      <c r="K17" s="352"/>
      <c r="L17" s="352"/>
      <c r="M17" s="352"/>
      <c r="N17" s="687"/>
    </row>
    <row r="18" spans="2:14" x14ac:dyDescent="0.2">
      <c r="B18" s="691"/>
      <c r="C18" s="671"/>
      <c r="D18" s="352"/>
      <c r="E18" s="352"/>
      <c r="F18" s="352"/>
      <c r="G18" s="352"/>
      <c r="H18" s="352"/>
      <c r="I18" s="352"/>
      <c r="J18" s="352"/>
      <c r="K18" s="352"/>
      <c r="L18" s="352"/>
      <c r="M18" s="352"/>
      <c r="N18" s="687"/>
    </row>
    <row r="19" spans="2:14" x14ac:dyDescent="0.2">
      <c r="B19" s="691"/>
      <c r="C19" s="352" t="s">
        <v>346</v>
      </c>
      <c r="D19" s="352"/>
      <c r="E19" s="672"/>
      <c r="F19" s="352"/>
      <c r="G19" s="352"/>
      <c r="H19" s="352"/>
      <c r="I19" s="352"/>
      <c r="J19" s="352"/>
      <c r="K19" s="352"/>
      <c r="L19" s="352"/>
      <c r="M19" s="352"/>
      <c r="N19" s="687"/>
    </row>
    <row r="20" spans="2:14" x14ac:dyDescent="0.2">
      <c r="B20" s="691"/>
      <c r="C20" s="352" t="s">
        <v>347</v>
      </c>
      <c r="D20" s="352"/>
      <c r="E20" s="672">
        <v>2.2000000000000001E-3</v>
      </c>
      <c r="F20" s="352"/>
      <c r="G20" s="352"/>
      <c r="H20" s="352"/>
      <c r="I20" s="352"/>
      <c r="J20" s="352"/>
      <c r="K20" s="352"/>
      <c r="L20" s="352"/>
      <c r="M20" s="352"/>
      <c r="N20" s="687"/>
    </row>
    <row r="21" spans="2:14" x14ac:dyDescent="0.2">
      <c r="B21" s="691"/>
      <c r="C21" s="352" t="s">
        <v>348</v>
      </c>
      <c r="D21" s="352"/>
      <c r="E21" s="672">
        <v>3.2199999999999999E-2</v>
      </c>
      <c r="F21" s="352" t="s">
        <v>352</v>
      </c>
      <c r="G21" s="352"/>
      <c r="H21" s="352"/>
      <c r="I21" s="352"/>
      <c r="J21" s="352"/>
      <c r="K21" s="352"/>
      <c r="L21" s="352"/>
      <c r="M21" s="352"/>
      <c r="N21" s="687"/>
    </row>
    <row r="22" spans="2:14" x14ac:dyDescent="0.2">
      <c r="B22" s="691"/>
      <c r="C22" s="352" t="s">
        <v>349</v>
      </c>
      <c r="D22" s="352"/>
      <c r="E22" s="672">
        <v>2.2599999999999999E-2</v>
      </c>
      <c r="F22" s="352" t="s">
        <v>353</v>
      </c>
      <c r="G22" s="352"/>
      <c r="H22" s="352"/>
      <c r="I22" s="352"/>
      <c r="J22" s="352"/>
      <c r="K22" s="352"/>
      <c r="L22" s="352"/>
      <c r="M22" s="352"/>
      <c r="N22" s="687"/>
    </row>
    <row r="23" spans="2:14" x14ac:dyDescent="0.2">
      <c r="B23" s="691"/>
      <c r="C23" s="352" t="s">
        <v>350</v>
      </c>
      <c r="D23" s="352"/>
      <c r="E23" s="672">
        <v>6.7000000000000002E-3</v>
      </c>
      <c r="F23" s="352" t="s">
        <v>354</v>
      </c>
      <c r="G23" s="352"/>
      <c r="H23" s="352"/>
      <c r="I23" s="352"/>
      <c r="J23" s="352"/>
      <c r="K23" s="352"/>
      <c r="L23" s="352"/>
      <c r="M23" s="352"/>
      <c r="N23" s="687"/>
    </row>
    <row r="24" spans="2:14" x14ac:dyDescent="0.2">
      <c r="B24" s="691"/>
      <c r="C24" s="352" t="s">
        <v>351</v>
      </c>
      <c r="D24" s="352"/>
      <c r="E24" s="672">
        <v>2.7000000000000001E-3</v>
      </c>
      <c r="F24" s="352" t="s">
        <v>355</v>
      </c>
      <c r="G24" s="352"/>
      <c r="H24" s="352"/>
      <c r="I24" s="352"/>
      <c r="J24" s="352"/>
      <c r="K24" s="352"/>
      <c r="L24" s="352"/>
      <c r="M24" s="352"/>
      <c r="N24" s="687"/>
    </row>
    <row r="25" spans="2:14" x14ac:dyDescent="0.2">
      <c r="B25" s="691"/>
      <c r="C25" s="352" t="s">
        <v>356</v>
      </c>
      <c r="D25" s="352"/>
      <c r="E25" s="352"/>
      <c r="F25" s="352"/>
      <c r="G25" s="352"/>
      <c r="H25" s="352"/>
      <c r="I25" s="352"/>
      <c r="J25" s="352"/>
      <c r="K25" s="352"/>
      <c r="L25" s="352"/>
      <c r="M25" s="352"/>
      <c r="N25" s="687"/>
    </row>
    <row r="26" spans="2:14" x14ac:dyDescent="0.2">
      <c r="B26" s="691"/>
      <c r="C26" s="353" t="s">
        <v>302</v>
      </c>
      <c r="D26" s="352"/>
      <c r="E26" s="352"/>
      <c r="F26" s="352"/>
      <c r="G26" s="352"/>
      <c r="H26" s="352"/>
      <c r="I26" s="352"/>
      <c r="J26" s="352"/>
      <c r="K26" s="352"/>
      <c r="L26" s="352"/>
      <c r="M26" s="352"/>
      <c r="N26" s="687"/>
    </row>
    <row r="27" spans="2:14" x14ac:dyDescent="0.2">
      <c r="B27" s="691"/>
      <c r="C27" s="673" t="s">
        <v>391</v>
      </c>
      <c r="D27" s="352"/>
      <c r="E27" s="352"/>
      <c r="F27" s="352"/>
      <c r="G27" s="352"/>
      <c r="H27" s="352"/>
      <c r="I27" s="352"/>
      <c r="J27" s="352"/>
      <c r="K27" s="352"/>
      <c r="L27" s="352"/>
      <c r="M27" s="352"/>
      <c r="N27" s="687"/>
    </row>
    <row r="28" spans="2:14" x14ac:dyDescent="0.2">
      <c r="B28" s="691"/>
      <c r="C28" s="352"/>
      <c r="D28" s="352"/>
      <c r="E28" s="352"/>
      <c r="F28" s="352"/>
      <c r="G28" s="352"/>
      <c r="H28" s="352"/>
      <c r="I28" s="352"/>
      <c r="J28" s="352"/>
      <c r="K28" s="352"/>
      <c r="L28" s="352"/>
      <c r="M28" s="352"/>
      <c r="N28" s="687"/>
    </row>
    <row r="29" spans="2:14" x14ac:dyDescent="0.2">
      <c r="B29" s="691"/>
      <c r="C29" s="352" t="s">
        <v>303</v>
      </c>
      <c r="D29" s="352"/>
      <c r="E29" s="352"/>
      <c r="F29" s="352"/>
      <c r="G29" s="352"/>
      <c r="H29" s="352"/>
      <c r="I29" s="352"/>
      <c r="J29" s="352"/>
      <c r="K29" s="352"/>
      <c r="L29" s="352"/>
      <c r="M29" s="352"/>
      <c r="N29" s="687"/>
    </row>
    <row r="30" spans="2:14" x14ac:dyDescent="0.2">
      <c r="B30" s="691"/>
      <c r="C30" s="352" t="s">
        <v>240</v>
      </c>
      <c r="D30" s="352"/>
      <c r="E30" s="352"/>
      <c r="F30" s="352"/>
      <c r="G30" s="352"/>
      <c r="H30" s="352"/>
      <c r="I30" s="352"/>
      <c r="J30" s="352"/>
      <c r="K30" s="352"/>
      <c r="L30" s="352"/>
      <c r="M30" s="352"/>
      <c r="N30" s="687"/>
    </row>
    <row r="31" spans="2:14" x14ac:dyDescent="0.2">
      <c r="B31" s="691"/>
      <c r="C31" s="352" t="s">
        <v>362</v>
      </c>
      <c r="D31" s="352"/>
      <c r="E31" s="352"/>
      <c r="F31" s="352"/>
      <c r="G31" s="352"/>
      <c r="H31" s="352"/>
      <c r="I31" s="352"/>
      <c r="J31" s="352"/>
      <c r="K31" s="352"/>
      <c r="L31" s="352"/>
      <c r="M31" s="352"/>
      <c r="N31" s="687"/>
    </row>
    <row r="32" spans="2:14" x14ac:dyDescent="0.2">
      <c r="B32" s="691"/>
      <c r="C32" s="352"/>
      <c r="D32" s="352"/>
      <c r="E32" s="352"/>
      <c r="F32" s="352"/>
      <c r="G32" s="352"/>
      <c r="H32" s="352"/>
      <c r="I32" s="352"/>
      <c r="J32" s="352"/>
      <c r="K32" s="352"/>
      <c r="L32" s="352"/>
      <c r="M32" s="352"/>
      <c r="N32" s="687"/>
    </row>
    <row r="33" spans="1:14" x14ac:dyDescent="0.2">
      <c r="B33" s="691"/>
      <c r="C33" s="352" t="s">
        <v>357</v>
      </c>
      <c r="D33" s="352"/>
      <c r="E33" s="352"/>
      <c r="F33" s="352"/>
      <c r="G33" s="352"/>
      <c r="H33" s="352"/>
      <c r="I33" s="352"/>
      <c r="J33" s="352"/>
      <c r="K33" s="352"/>
      <c r="L33" s="352"/>
      <c r="M33" s="352"/>
      <c r="N33" s="687"/>
    </row>
    <row r="34" spans="1:14" x14ac:dyDescent="0.2">
      <c r="B34" s="691"/>
      <c r="C34" s="352" t="s">
        <v>358</v>
      </c>
      <c r="D34" s="352"/>
      <c r="E34" s="352"/>
      <c r="F34" s="352"/>
      <c r="G34" s="352"/>
      <c r="H34" s="352"/>
      <c r="I34" s="352"/>
      <c r="J34" s="352"/>
      <c r="K34" s="352"/>
      <c r="L34" s="352"/>
      <c r="M34" s="352"/>
      <c r="N34" s="687"/>
    </row>
    <row r="35" spans="1:14" s="674" customFormat="1" x14ac:dyDescent="0.2">
      <c r="B35" s="691"/>
      <c r="C35" s="352"/>
      <c r="D35" s="352"/>
      <c r="E35" s="352"/>
      <c r="F35" s="352"/>
      <c r="G35" s="352"/>
      <c r="H35" s="352"/>
      <c r="I35" s="352"/>
      <c r="J35" s="352"/>
      <c r="K35" s="352"/>
      <c r="L35" s="352"/>
      <c r="M35" s="352"/>
      <c r="N35" s="692"/>
    </row>
    <row r="36" spans="1:14" s="674" customFormat="1" x14ac:dyDescent="0.2">
      <c r="B36" s="691"/>
      <c r="C36" s="352" t="s">
        <v>397</v>
      </c>
      <c r="D36" s="352"/>
      <c r="E36" s="352"/>
      <c r="F36" s="352"/>
      <c r="G36" s="352"/>
      <c r="H36" s="352"/>
      <c r="I36" s="352"/>
      <c r="J36" s="352"/>
      <c r="K36" s="352"/>
      <c r="L36" s="352"/>
      <c r="M36" s="352"/>
      <c r="N36" s="692"/>
    </row>
    <row r="37" spans="1:14" x14ac:dyDescent="0.2">
      <c r="B37" s="691"/>
      <c r="C37" s="352" t="s">
        <v>251</v>
      </c>
      <c r="D37" s="352"/>
      <c r="E37" s="352"/>
      <c r="F37" s="352"/>
      <c r="G37" s="352"/>
      <c r="H37" s="352"/>
      <c r="I37" s="352"/>
      <c r="J37" s="352"/>
      <c r="K37" s="352"/>
      <c r="L37" s="352"/>
      <c r="M37" s="352"/>
      <c r="N37" s="687"/>
    </row>
    <row r="38" spans="1:14" x14ac:dyDescent="0.2">
      <c r="B38" s="691"/>
      <c r="C38" s="352"/>
      <c r="D38" s="352"/>
      <c r="E38" s="352"/>
      <c r="F38" s="352"/>
      <c r="G38" s="352"/>
      <c r="H38" s="675"/>
      <c r="I38" s="675"/>
      <c r="J38" s="675"/>
      <c r="K38" s="352"/>
      <c r="L38" s="352"/>
      <c r="M38" s="352"/>
      <c r="N38" s="687"/>
    </row>
    <row r="39" spans="1:14" x14ac:dyDescent="0.2">
      <c r="B39" s="691"/>
      <c r="C39" s="352" t="s">
        <v>233</v>
      </c>
      <c r="D39" s="352"/>
      <c r="E39" s="352"/>
      <c r="F39" s="352"/>
      <c r="G39" s="352"/>
      <c r="H39" s="675"/>
      <c r="I39" s="675"/>
      <c r="J39" s="675"/>
      <c r="K39" s="352"/>
      <c r="L39" s="352"/>
      <c r="M39" s="352"/>
      <c r="N39" s="687"/>
    </row>
    <row r="40" spans="1:14" x14ac:dyDescent="0.2">
      <c r="B40" s="691"/>
      <c r="C40" s="352"/>
      <c r="D40" s="352"/>
      <c r="E40" s="352"/>
      <c r="F40" s="352"/>
      <c r="G40" s="352"/>
      <c r="H40" s="675"/>
      <c r="I40" s="675"/>
      <c r="J40" s="675"/>
      <c r="K40" s="352"/>
      <c r="L40" s="352"/>
      <c r="M40" s="352"/>
      <c r="N40" s="687"/>
    </row>
    <row r="41" spans="1:14" x14ac:dyDescent="0.2">
      <c r="B41" s="691"/>
      <c r="C41" s="375" t="s">
        <v>304</v>
      </c>
      <c r="D41" s="676"/>
      <c r="E41" s="676"/>
      <c r="F41" s="676"/>
      <c r="G41" s="676"/>
      <c r="H41" s="677"/>
      <c r="I41" s="677"/>
      <c r="J41" s="677"/>
      <c r="K41" s="676"/>
      <c r="L41" s="678"/>
      <c r="M41" s="678"/>
      <c r="N41" s="687"/>
    </row>
    <row r="42" spans="1:14" x14ac:dyDescent="0.2">
      <c r="B42" s="691"/>
      <c r="C42" s="679" t="s">
        <v>305</v>
      </c>
      <c r="D42" s="676"/>
      <c r="E42" s="676"/>
      <c r="F42" s="676"/>
      <c r="G42" s="676"/>
      <c r="H42" s="677"/>
      <c r="I42" s="677"/>
      <c r="J42" s="677"/>
      <c r="K42" s="676"/>
      <c r="L42" s="678"/>
      <c r="M42" s="678"/>
      <c r="N42" s="687"/>
    </row>
    <row r="43" spans="1:14" x14ac:dyDescent="0.2">
      <c r="B43" s="691"/>
      <c r="C43" s="679" t="s">
        <v>327</v>
      </c>
      <c r="D43" s="676"/>
      <c r="E43" s="676"/>
      <c r="F43" s="676"/>
      <c r="G43" s="676"/>
      <c r="H43" s="677"/>
      <c r="I43" s="677"/>
      <c r="J43" s="677"/>
      <c r="K43" s="676"/>
      <c r="L43" s="678"/>
      <c r="M43" s="678"/>
      <c r="N43" s="687"/>
    </row>
    <row r="44" spans="1:14" x14ac:dyDescent="0.2">
      <c r="A44" s="680"/>
      <c r="B44" s="691"/>
      <c r="C44" s="679" t="s">
        <v>328</v>
      </c>
      <c r="D44" s="676"/>
      <c r="E44" s="676"/>
      <c r="F44" s="676"/>
      <c r="G44" s="676"/>
      <c r="H44" s="677"/>
      <c r="I44" s="677"/>
      <c r="J44" s="677"/>
      <c r="K44" s="676"/>
      <c r="L44" s="678"/>
      <c r="M44" s="678"/>
      <c r="N44" s="687"/>
    </row>
    <row r="45" spans="1:14" x14ac:dyDescent="0.2">
      <c r="B45" s="691"/>
      <c r="C45" s="679" t="s">
        <v>235</v>
      </c>
      <c r="D45" s="676"/>
      <c r="E45" s="676"/>
      <c r="F45" s="676"/>
      <c r="G45" s="676"/>
      <c r="H45" s="677"/>
      <c r="I45" s="677"/>
      <c r="J45" s="677"/>
      <c r="K45" s="676"/>
      <c r="L45" s="678"/>
      <c r="M45" s="678"/>
      <c r="N45" s="687"/>
    </row>
    <row r="46" spans="1:14" x14ac:dyDescent="0.2">
      <c r="B46" s="691"/>
      <c r="C46" s="679" t="s">
        <v>236</v>
      </c>
      <c r="D46" s="676"/>
      <c r="E46" s="676"/>
      <c r="F46" s="676"/>
      <c r="G46" s="676"/>
      <c r="H46" s="677"/>
      <c r="I46" s="677"/>
      <c r="J46" s="677"/>
      <c r="K46" s="676"/>
      <c r="L46" s="678"/>
      <c r="M46" s="678"/>
      <c r="N46" s="687"/>
    </row>
    <row r="47" spans="1:14" x14ac:dyDescent="0.2">
      <c r="B47" s="691"/>
      <c r="C47" s="679" t="s">
        <v>237</v>
      </c>
      <c r="D47" s="352"/>
      <c r="E47" s="352"/>
      <c r="F47" s="352"/>
      <c r="G47" s="352"/>
      <c r="H47" s="675"/>
      <c r="I47" s="675"/>
      <c r="J47" s="675"/>
      <c r="K47" s="352"/>
      <c r="L47" s="352"/>
      <c r="M47" s="352"/>
      <c r="N47" s="687"/>
    </row>
    <row r="48" spans="1:14" x14ac:dyDescent="0.2">
      <c r="B48" s="691"/>
      <c r="C48" s="353"/>
      <c r="D48" s="676"/>
      <c r="E48" s="676"/>
      <c r="F48" s="676"/>
      <c r="G48" s="676"/>
      <c r="H48" s="677"/>
      <c r="I48" s="677"/>
      <c r="J48" s="677"/>
      <c r="K48" s="676"/>
      <c r="L48" s="352"/>
      <c r="M48" s="352"/>
      <c r="N48" s="687"/>
    </row>
    <row r="49" spans="2:14" x14ac:dyDescent="0.2">
      <c r="B49" s="691"/>
      <c r="C49" s="679" t="s">
        <v>112</v>
      </c>
      <c r="D49" s="676"/>
      <c r="E49" s="676"/>
      <c r="F49" s="676"/>
      <c r="G49" s="676"/>
      <c r="H49" s="677"/>
      <c r="I49" s="677"/>
      <c r="J49" s="677"/>
      <c r="K49" s="676"/>
      <c r="L49" s="352"/>
      <c r="M49" s="352"/>
      <c r="N49" s="687"/>
    </row>
    <row r="50" spans="2:14" x14ac:dyDescent="0.2">
      <c r="B50" s="691"/>
      <c r="C50" s="679" t="s">
        <v>113</v>
      </c>
      <c r="D50" s="676"/>
      <c r="E50" s="676"/>
      <c r="F50" s="676"/>
      <c r="G50" s="676"/>
      <c r="H50" s="677"/>
      <c r="I50" s="677"/>
      <c r="J50" s="677"/>
      <c r="K50" s="676"/>
      <c r="L50" s="352"/>
      <c r="M50" s="352"/>
      <c r="N50" s="687"/>
    </row>
    <row r="51" spans="2:14" x14ac:dyDescent="0.2">
      <c r="B51" s="691"/>
      <c r="C51" s="679" t="s">
        <v>398</v>
      </c>
      <c r="D51" s="676"/>
      <c r="E51" s="676"/>
      <c r="F51" s="676"/>
      <c r="G51" s="676"/>
      <c r="H51" s="677"/>
      <c r="I51" s="677"/>
      <c r="J51" s="677"/>
      <c r="K51" s="676"/>
      <c r="L51" s="352"/>
      <c r="M51" s="352"/>
      <c r="N51" s="687"/>
    </row>
    <row r="52" spans="2:14" x14ac:dyDescent="0.2">
      <c r="B52" s="691"/>
      <c r="C52" s="679" t="s">
        <v>306</v>
      </c>
      <c r="D52" s="352"/>
      <c r="E52" s="352"/>
      <c r="F52" s="352"/>
      <c r="G52" s="352"/>
      <c r="H52" s="675"/>
      <c r="I52" s="675"/>
      <c r="J52" s="675"/>
      <c r="K52" s="352"/>
      <c r="L52" s="352"/>
      <c r="M52" s="352"/>
      <c r="N52" s="687"/>
    </row>
    <row r="53" spans="2:14" x14ac:dyDescent="0.2">
      <c r="B53" s="691"/>
      <c r="C53" s="375"/>
      <c r="D53" s="352"/>
      <c r="E53" s="352"/>
      <c r="F53" s="352"/>
      <c r="G53" s="352"/>
      <c r="H53" s="675"/>
      <c r="I53" s="675"/>
      <c r="J53" s="675"/>
      <c r="K53" s="352"/>
      <c r="L53" s="352"/>
      <c r="M53" s="352"/>
      <c r="N53" s="687"/>
    </row>
    <row r="54" spans="2:14" x14ac:dyDescent="0.2">
      <c r="B54" s="691"/>
      <c r="C54" s="352" t="s">
        <v>64</v>
      </c>
      <c r="D54" s="352"/>
      <c r="E54" s="352"/>
      <c r="F54" s="352"/>
      <c r="G54" s="352"/>
      <c r="H54" s="675"/>
      <c r="I54" s="675"/>
      <c r="J54" s="675"/>
      <c r="K54" s="352"/>
      <c r="L54" s="352"/>
      <c r="M54" s="352"/>
      <c r="N54" s="687"/>
    </row>
    <row r="55" spans="2:14" x14ac:dyDescent="0.2">
      <c r="B55" s="691"/>
      <c r="C55" s="352" t="s">
        <v>65</v>
      </c>
      <c r="D55" s="352"/>
      <c r="E55" s="352"/>
      <c r="F55" s="352"/>
      <c r="G55" s="352"/>
      <c r="H55" s="675"/>
      <c r="I55" s="675"/>
      <c r="J55" s="675"/>
      <c r="K55" s="352"/>
      <c r="L55" s="352"/>
      <c r="M55" s="352"/>
      <c r="N55" s="687"/>
    </row>
    <row r="56" spans="2:14" x14ac:dyDescent="0.2">
      <c r="B56" s="691"/>
      <c r="C56" s="352" t="s">
        <v>238</v>
      </c>
      <c r="D56" s="352"/>
      <c r="E56" s="352"/>
      <c r="F56" s="352"/>
      <c r="G56" s="352"/>
      <c r="H56" s="675"/>
      <c r="I56" s="675"/>
      <c r="J56" s="675"/>
      <c r="K56" s="352"/>
      <c r="L56" s="352"/>
      <c r="M56" s="352"/>
      <c r="N56" s="687"/>
    </row>
    <row r="57" spans="2:14" x14ac:dyDescent="0.2">
      <c r="B57" s="691"/>
      <c r="C57" s="352"/>
      <c r="D57" s="352"/>
      <c r="E57" s="352"/>
      <c r="F57" s="352"/>
      <c r="G57" s="352"/>
      <c r="H57" s="675"/>
      <c r="I57" s="675"/>
      <c r="J57" s="675"/>
      <c r="K57" s="352"/>
      <c r="L57" s="352"/>
      <c r="M57" s="352"/>
      <c r="N57" s="687"/>
    </row>
    <row r="58" spans="2:14" x14ac:dyDescent="0.2">
      <c r="B58" s="691"/>
      <c r="C58" s="375" t="s">
        <v>307</v>
      </c>
      <c r="D58" s="352"/>
      <c r="E58" s="352"/>
      <c r="F58" s="352"/>
      <c r="G58" s="352"/>
      <c r="H58" s="675"/>
      <c r="I58" s="675"/>
      <c r="J58" s="675"/>
      <c r="K58" s="352"/>
      <c r="L58" s="352"/>
      <c r="M58" s="352"/>
      <c r="N58" s="687"/>
    </row>
    <row r="59" spans="2:14" x14ac:dyDescent="0.2">
      <c r="B59" s="691"/>
      <c r="C59" s="352" t="s">
        <v>359</v>
      </c>
      <c r="D59" s="352"/>
      <c r="E59" s="352"/>
      <c r="F59" s="352"/>
      <c r="G59" s="352"/>
      <c r="H59" s="675"/>
      <c r="I59" s="675"/>
      <c r="J59" s="675"/>
      <c r="K59" s="352"/>
      <c r="L59" s="352"/>
      <c r="M59" s="352"/>
      <c r="N59" s="687"/>
    </row>
    <row r="60" spans="2:14" x14ac:dyDescent="0.2">
      <c r="B60" s="691"/>
      <c r="C60" s="693" t="s">
        <v>308</v>
      </c>
      <c r="D60" s="352"/>
      <c r="E60" s="352"/>
      <c r="F60" s="352"/>
      <c r="G60" s="352"/>
      <c r="H60" s="675"/>
      <c r="I60" s="675"/>
      <c r="J60" s="675"/>
      <c r="K60" s="352"/>
      <c r="L60" s="352"/>
      <c r="M60" s="352"/>
      <c r="N60" s="687"/>
    </row>
    <row r="61" spans="2:14" x14ac:dyDescent="0.2">
      <c r="B61" s="691"/>
      <c r="C61" s="694" t="s">
        <v>309</v>
      </c>
      <c r="D61" s="352"/>
      <c r="E61" s="352"/>
      <c r="F61" s="352"/>
      <c r="G61" s="352"/>
      <c r="H61" s="675"/>
      <c r="I61" s="675"/>
      <c r="J61" s="675"/>
      <c r="K61" s="352"/>
      <c r="L61" s="352"/>
      <c r="M61" s="352"/>
      <c r="N61" s="687"/>
    </row>
    <row r="62" spans="2:14" x14ac:dyDescent="0.2">
      <c r="B62" s="691"/>
      <c r="C62" s="352" t="s">
        <v>336</v>
      </c>
      <c r="D62" s="352"/>
      <c r="E62" s="352"/>
      <c r="F62" s="352"/>
      <c r="G62" s="352"/>
      <c r="H62" s="675"/>
      <c r="I62" s="675"/>
      <c r="J62" s="675"/>
      <c r="K62" s="352"/>
      <c r="L62" s="352"/>
      <c r="M62" s="352"/>
      <c r="N62" s="687"/>
    </row>
    <row r="63" spans="2:14" x14ac:dyDescent="0.2">
      <c r="B63" s="691"/>
      <c r="C63" s="352" t="s">
        <v>310</v>
      </c>
      <c r="D63" s="352"/>
      <c r="E63" s="352"/>
      <c r="F63" s="352"/>
      <c r="G63" s="352"/>
      <c r="H63" s="675"/>
      <c r="I63" s="675"/>
      <c r="J63" s="675"/>
      <c r="K63" s="352"/>
      <c r="L63" s="352"/>
      <c r="M63" s="352"/>
      <c r="N63" s="687"/>
    </row>
    <row r="64" spans="2:14" x14ac:dyDescent="0.2">
      <c r="B64" s="691"/>
      <c r="C64" s="694" t="s">
        <v>311</v>
      </c>
      <c r="D64" s="352"/>
      <c r="E64" s="352"/>
      <c r="F64" s="352"/>
      <c r="G64" s="352"/>
      <c r="H64" s="675"/>
      <c r="I64" s="675"/>
      <c r="J64" s="675"/>
      <c r="K64" s="352"/>
      <c r="L64" s="352"/>
      <c r="M64" s="352"/>
      <c r="N64" s="687"/>
    </row>
    <row r="65" spans="2:14" x14ac:dyDescent="0.2">
      <c r="B65" s="691"/>
      <c r="C65" s="352" t="s">
        <v>330</v>
      </c>
      <c r="D65" s="352"/>
      <c r="E65" s="352"/>
      <c r="F65" s="352"/>
      <c r="G65" s="352"/>
      <c r="H65" s="675"/>
      <c r="I65" s="675"/>
      <c r="J65" s="675"/>
      <c r="K65" s="352"/>
      <c r="L65" s="352"/>
      <c r="M65" s="352"/>
      <c r="N65" s="687"/>
    </row>
    <row r="66" spans="2:14" x14ac:dyDescent="0.2">
      <c r="B66" s="691"/>
      <c r="C66" s="671" t="s">
        <v>331</v>
      </c>
      <c r="D66" s="352"/>
      <c r="E66" s="352"/>
      <c r="F66" s="352"/>
      <c r="G66" s="352"/>
      <c r="H66" s="675"/>
      <c r="I66" s="675"/>
      <c r="J66" s="675"/>
      <c r="K66" s="352"/>
      <c r="L66" s="352"/>
      <c r="M66" s="352"/>
      <c r="N66" s="687"/>
    </row>
    <row r="67" spans="2:14" x14ac:dyDescent="0.2">
      <c r="B67" s="691"/>
      <c r="C67" s="694" t="s">
        <v>312</v>
      </c>
      <c r="D67" s="352"/>
      <c r="E67" s="352"/>
      <c r="F67" s="352"/>
      <c r="G67" s="352"/>
      <c r="H67" s="675"/>
      <c r="I67" s="675"/>
      <c r="J67" s="675"/>
      <c r="K67" s="352"/>
      <c r="L67" s="352"/>
      <c r="M67" s="352"/>
      <c r="N67" s="687"/>
    </row>
    <row r="68" spans="2:14" x14ac:dyDescent="0.2">
      <c r="B68" s="691"/>
      <c r="C68" s="352" t="s">
        <v>332</v>
      </c>
      <c r="D68" s="352"/>
      <c r="E68" s="352"/>
      <c r="F68" s="352"/>
      <c r="G68" s="352"/>
      <c r="H68" s="675"/>
      <c r="I68" s="675"/>
      <c r="J68" s="675"/>
      <c r="K68" s="352"/>
      <c r="L68" s="352"/>
      <c r="M68" s="352"/>
      <c r="N68" s="687"/>
    </row>
    <row r="69" spans="2:14" s="674" customFormat="1" x14ac:dyDescent="0.2">
      <c r="B69" s="691"/>
      <c r="C69" s="352" t="s">
        <v>313</v>
      </c>
      <c r="D69" s="352"/>
      <c r="E69" s="352"/>
      <c r="F69" s="352"/>
      <c r="G69" s="352"/>
      <c r="H69" s="675"/>
      <c r="I69" s="675"/>
      <c r="J69" s="675"/>
      <c r="K69" s="352"/>
      <c r="L69" s="352"/>
      <c r="M69" s="352"/>
      <c r="N69" s="692"/>
    </row>
    <row r="70" spans="2:14" s="674" customFormat="1" x14ac:dyDescent="0.2">
      <c r="B70" s="691"/>
      <c r="C70" s="352" t="s">
        <v>324</v>
      </c>
      <c r="D70" s="352"/>
      <c r="E70" s="352"/>
      <c r="F70" s="352"/>
      <c r="G70" s="352"/>
      <c r="H70" s="675"/>
      <c r="I70" s="675"/>
      <c r="J70" s="675"/>
      <c r="K70" s="352"/>
      <c r="L70" s="352"/>
      <c r="M70" s="352"/>
      <c r="N70" s="692"/>
    </row>
    <row r="71" spans="2:14" x14ac:dyDescent="0.2">
      <c r="B71" s="691"/>
      <c r="C71" s="352" t="s">
        <v>325</v>
      </c>
      <c r="D71" s="352"/>
      <c r="E71" s="352"/>
      <c r="F71" s="352"/>
      <c r="G71" s="352"/>
      <c r="H71" s="675"/>
      <c r="I71" s="675"/>
      <c r="J71" s="675"/>
      <c r="K71" s="352"/>
      <c r="L71" s="352"/>
      <c r="M71" s="352"/>
      <c r="N71" s="687"/>
    </row>
    <row r="72" spans="2:14" x14ac:dyDescent="0.2">
      <c r="B72" s="691"/>
      <c r="C72" s="352"/>
      <c r="D72" s="352"/>
      <c r="E72" s="352"/>
      <c r="F72" s="352"/>
      <c r="G72" s="352"/>
      <c r="H72" s="675"/>
      <c r="I72" s="675"/>
      <c r="J72" s="675"/>
      <c r="K72" s="352"/>
      <c r="L72" s="352"/>
      <c r="M72" s="352"/>
      <c r="N72" s="687"/>
    </row>
    <row r="73" spans="2:14" x14ac:dyDescent="0.2">
      <c r="B73" s="691"/>
      <c r="C73" s="353" t="s">
        <v>314</v>
      </c>
      <c r="D73" s="352"/>
      <c r="E73" s="352"/>
      <c r="F73" s="352"/>
      <c r="G73" s="352"/>
      <c r="H73" s="675"/>
      <c r="I73" s="675"/>
      <c r="J73" s="675"/>
      <c r="K73" s="352"/>
      <c r="L73" s="352"/>
      <c r="M73" s="352"/>
      <c r="N73" s="687"/>
    </row>
    <row r="74" spans="2:14" x14ac:dyDescent="0.2">
      <c r="B74" s="691"/>
      <c r="C74" s="352" t="s">
        <v>363</v>
      </c>
      <c r="D74" s="352"/>
      <c r="E74" s="352"/>
      <c r="F74" s="352"/>
      <c r="G74" s="352"/>
      <c r="H74" s="675"/>
      <c r="I74" s="675"/>
      <c r="J74" s="675"/>
      <c r="K74" s="352"/>
      <c r="L74" s="352"/>
      <c r="M74" s="352"/>
      <c r="N74" s="687"/>
    </row>
    <row r="75" spans="2:14" x14ac:dyDescent="0.2">
      <c r="B75" s="691"/>
      <c r="C75" s="352" t="s">
        <v>364</v>
      </c>
      <c r="D75" s="352"/>
      <c r="E75" s="352"/>
      <c r="F75" s="352"/>
      <c r="G75" s="352"/>
      <c r="H75" s="675"/>
      <c r="I75" s="675"/>
      <c r="J75" s="675"/>
      <c r="K75" s="352"/>
      <c r="L75" s="352"/>
      <c r="M75" s="352"/>
      <c r="N75" s="687"/>
    </row>
    <row r="76" spans="2:14" x14ac:dyDescent="0.2">
      <c r="B76" s="691"/>
      <c r="C76" s="352" t="s">
        <v>195</v>
      </c>
      <c r="D76" s="352"/>
      <c r="E76" s="352"/>
      <c r="F76" s="352"/>
      <c r="G76" s="352"/>
      <c r="H76" s="675"/>
      <c r="I76" s="675"/>
      <c r="J76" s="675"/>
      <c r="K76" s="352"/>
      <c r="L76" s="669"/>
      <c r="M76" s="669"/>
      <c r="N76" s="687"/>
    </row>
    <row r="77" spans="2:14" x14ac:dyDescent="0.2">
      <c r="B77" s="691"/>
      <c r="C77" s="352" t="s">
        <v>177</v>
      </c>
      <c r="D77" s="352"/>
      <c r="E77" s="352"/>
      <c r="F77" s="352"/>
      <c r="G77" s="352"/>
      <c r="H77" s="675"/>
      <c r="I77" s="675"/>
      <c r="J77" s="675"/>
      <c r="K77" s="352"/>
      <c r="L77" s="669"/>
      <c r="M77" s="669"/>
      <c r="N77" s="687"/>
    </row>
    <row r="78" spans="2:14" x14ac:dyDescent="0.2">
      <c r="B78" s="691"/>
      <c r="C78" s="352" t="s">
        <v>365</v>
      </c>
      <c r="D78" s="352"/>
      <c r="E78" s="352"/>
      <c r="F78" s="352"/>
      <c r="G78" s="352"/>
      <c r="H78" s="675"/>
      <c r="I78" s="675"/>
      <c r="J78" s="675"/>
      <c r="K78" s="352"/>
      <c r="L78" s="352"/>
      <c r="M78" s="352"/>
      <c r="N78" s="687"/>
    </row>
    <row r="79" spans="2:14" x14ac:dyDescent="0.2">
      <c r="B79" s="691"/>
      <c r="C79" s="352" t="s">
        <v>366</v>
      </c>
      <c r="D79" s="352"/>
      <c r="E79" s="352"/>
      <c r="F79" s="352"/>
      <c r="G79" s="352"/>
      <c r="H79" s="675"/>
      <c r="I79" s="675"/>
      <c r="J79" s="675"/>
      <c r="K79" s="352"/>
      <c r="L79" s="352"/>
      <c r="M79" s="352"/>
      <c r="N79" s="687"/>
    </row>
    <row r="80" spans="2:14" x14ac:dyDescent="0.2">
      <c r="B80" s="691"/>
      <c r="C80" s="352"/>
      <c r="D80" s="352"/>
      <c r="E80" s="352"/>
      <c r="F80" s="352"/>
      <c r="G80" s="352"/>
      <c r="H80" s="675"/>
      <c r="I80" s="675"/>
      <c r="J80" s="675"/>
      <c r="K80" s="352"/>
      <c r="L80" s="352"/>
      <c r="M80" s="352"/>
      <c r="N80" s="687"/>
    </row>
    <row r="81" spans="2:14" x14ac:dyDescent="0.2">
      <c r="B81" s="691"/>
      <c r="C81" s="352" t="s">
        <v>315</v>
      </c>
      <c r="D81" s="352"/>
      <c r="E81" s="352"/>
      <c r="F81" s="352"/>
      <c r="G81" s="352"/>
      <c r="H81" s="675"/>
      <c r="I81" s="675"/>
      <c r="J81" s="675"/>
      <c r="K81" s="352"/>
      <c r="L81" s="352"/>
      <c r="M81" s="352"/>
      <c r="N81" s="687"/>
    </row>
    <row r="82" spans="2:14" x14ac:dyDescent="0.2">
      <c r="B82" s="691"/>
      <c r="C82" s="352" t="s">
        <v>316</v>
      </c>
      <c r="D82" s="352"/>
      <c r="E82" s="352"/>
      <c r="F82" s="352"/>
      <c r="G82" s="352"/>
      <c r="H82" s="675"/>
      <c r="I82" s="675"/>
      <c r="J82" s="675"/>
      <c r="K82" s="352"/>
      <c r="L82" s="352"/>
      <c r="M82" s="352"/>
      <c r="N82" s="687"/>
    </row>
    <row r="83" spans="2:14" x14ac:dyDescent="0.2">
      <c r="B83" s="691"/>
      <c r="C83" s="352" t="s">
        <v>205</v>
      </c>
      <c r="D83" s="352"/>
      <c r="E83" s="352"/>
      <c r="F83" s="352"/>
      <c r="G83" s="352"/>
      <c r="H83" s="675"/>
      <c r="I83" s="675"/>
      <c r="J83" s="675"/>
      <c r="K83" s="352"/>
      <c r="L83" s="352"/>
      <c r="M83" s="352"/>
      <c r="N83" s="687"/>
    </row>
    <row r="84" spans="2:14" x14ac:dyDescent="0.2">
      <c r="B84" s="691"/>
      <c r="C84" s="352" t="s">
        <v>317</v>
      </c>
      <c r="D84" s="352"/>
      <c r="E84" s="352"/>
      <c r="F84" s="352"/>
      <c r="G84" s="352"/>
      <c r="H84" s="675"/>
      <c r="I84" s="675"/>
      <c r="J84" s="675"/>
      <c r="K84" s="352"/>
      <c r="L84" s="352"/>
      <c r="M84" s="352"/>
      <c r="N84" s="687"/>
    </row>
    <row r="85" spans="2:14" x14ac:dyDescent="0.2">
      <c r="B85" s="691"/>
      <c r="C85" s="352"/>
      <c r="D85" s="352"/>
      <c r="E85" s="352"/>
      <c r="F85" s="352"/>
      <c r="G85" s="352"/>
      <c r="H85" s="675"/>
      <c r="I85" s="675"/>
      <c r="J85" s="675"/>
      <c r="K85" s="352"/>
      <c r="L85" s="352"/>
      <c r="M85" s="352"/>
      <c r="N85" s="687"/>
    </row>
    <row r="86" spans="2:14" x14ac:dyDescent="0.2">
      <c r="B86" s="691"/>
      <c r="C86" s="352" t="s">
        <v>66</v>
      </c>
      <c r="D86" s="352"/>
      <c r="E86" s="352"/>
      <c r="F86" s="352"/>
      <c r="G86" s="352"/>
      <c r="H86" s="675"/>
      <c r="I86" s="675"/>
      <c r="J86" s="675"/>
      <c r="K86" s="352"/>
      <c r="L86" s="352"/>
      <c r="M86" s="352"/>
      <c r="N86" s="687"/>
    </row>
    <row r="87" spans="2:14" x14ac:dyDescent="0.2">
      <c r="B87" s="691"/>
      <c r="C87" s="352" t="s">
        <v>318</v>
      </c>
      <c r="D87" s="352"/>
      <c r="E87" s="352"/>
      <c r="F87" s="352"/>
      <c r="G87" s="352"/>
      <c r="H87" s="675"/>
      <c r="I87" s="675"/>
      <c r="J87" s="675"/>
      <c r="K87" s="352"/>
      <c r="L87" s="352"/>
      <c r="M87" s="352"/>
      <c r="N87" s="687"/>
    </row>
    <row r="88" spans="2:14" x14ac:dyDescent="0.2">
      <c r="B88" s="691"/>
      <c r="C88" s="352" t="s">
        <v>234</v>
      </c>
      <c r="D88" s="352"/>
      <c r="E88" s="352"/>
      <c r="F88" s="352"/>
      <c r="G88" s="352"/>
      <c r="H88" s="675"/>
      <c r="I88" s="675"/>
      <c r="J88" s="675"/>
      <c r="K88" s="352"/>
      <c r="L88" s="352"/>
      <c r="M88" s="352"/>
      <c r="N88" s="687"/>
    </row>
    <row r="89" spans="2:14" x14ac:dyDescent="0.2">
      <c r="B89" s="691"/>
      <c r="C89" s="352" t="s">
        <v>367</v>
      </c>
      <c r="D89" s="352"/>
      <c r="E89" s="352"/>
      <c r="F89" s="352"/>
      <c r="G89" s="352"/>
      <c r="H89" s="675"/>
      <c r="I89" s="675"/>
      <c r="J89" s="675"/>
      <c r="K89" s="352"/>
      <c r="L89" s="352"/>
      <c r="M89" s="352"/>
      <c r="N89" s="687"/>
    </row>
    <row r="90" spans="2:14" x14ac:dyDescent="0.2">
      <c r="B90" s="691"/>
      <c r="C90" s="352"/>
      <c r="D90" s="352"/>
      <c r="E90" s="352"/>
      <c r="F90" s="352"/>
      <c r="G90" s="352"/>
      <c r="H90" s="675"/>
      <c r="I90" s="675"/>
      <c r="J90" s="675"/>
      <c r="K90" s="352"/>
      <c r="L90" s="352"/>
      <c r="M90" s="352"/>
      <c r="N90" s="687"/>
    </row>
    <row r="91" spans="2:14" x14ac:dyDescent="0.2">
      <c r="B91" s="691"/>
      <c r="C91" s="353" t="s">
        <v>68</v>
      </c>
      <c r="D91" s="352"/>
      <c r="E91" s="352"/>
      <c r="F91" s="352"/>
      <c r="G91" s="352"/>
      <c r="H91" s="675"/>
      <c r="I91" s="675"/>
      <c r="J91" s="675"/>
      <c r="K91" s="352"/>
      <c r="L91" s="352"/>
      <c r="M91" s="352"/>
      <c r="N91" s="687"/>
    </row>
    <row r="92" spans="2:14" x14ac:dyDescent="0.2">
      <c r="B92" s="691"/>
      <c r="C92" s="352" t="s">
        <v>186</v>
      </c>
      <c r="D92" s="352"/>
      <c r="E92" s="352"/>
      <c r="F92" s="352"/>
      <c r="G92" s="352"/>
      <c r="H92" s="675"/>
      <c r="I92" s="675"/>
      <c r="J92" s="675"/>
      <c r="K92" s="352"/>
      <c r="L92" s="352"/>
      <c r="M92" s="352"/>
      <c r="N92" s="687"/>
    </row>
    <row r="93" spans="2:14" x14ac:dyDescent="0.2">
      <c r="B93" s="691"/>
      <c r="C93" s="352"/>
      <c r="D93" s="352"/>
      <c r="E93" s="352"/>
      <c r="F93" s="352"/>
      <c r="G93" s="352"/>
      <c r="H93" s="675"/>
      <c r="I93" s="675"/>
      <c r="J93" s="675"/>
      <c r="K93" s="352"/>
      <c r="L93" s="352"/>
      <c r="M93" s="352"/>
      <c r="N93" s="687"/>
    </row>
    <row r="94" spans="2:14" x14ac:dyDescent="0.2">
      <c r="B94" s="691"/>
      <c r="C94" s="353" t="s">
        <v>69</v>
      </c>
      <c r="D94" s="352"/>
      <c r="E94" s="352"/>
      <c r="F94" s="352"/>
      <c r="G94" s="352"/>
      <c r="H94" s="675"/>
      <c r="I94" s="675"/>
      <c r="J94" s="675"/>
      <c r="K94" s="352"/>
      <c r="L94" s="352"/>
      <c r="M94" s="352"/>
      <c r="N94" s="687"/>
    </row>
    <row r="95" spans="2:14" x14ac:dyDescent="0.2">
      <c r="B95" s="691"/>
      <c r="C95" s="352" t="s">
        <v>185</v>
      </c>
      <c r="D95" s="352"/>
      <c r="E95" s="352"/>
      <c r="F95" s="352"/>
      <c r="G95" s="352"/>
      <c r="H95" s="675"/>
      <c r="I95" s="675"/>
      <c r="J95" s="675"/>
      <c r="K95" s="352"/>
      <c r="L95" s="352"/>
      <c r="M95" s="352"/>
      <c r="N95" s="687"/>
    </row>
    <row r="96" spans="2:14" x14ac:dyDescent="0.2">
      <c r="B96" s="691"/>
      <c r="C96" s="352"/>
      <c r="D96" s="352"/>
      <c r="E96" s="352"/>
      <c r="F96" s="352"/>
      <c r="G96" s="352"/>
      <c r="H96" s="675"/>
      <c r="I96" s="675"/>
      <c r="J96" s="675"/>
      <c r="K96" s="352"/>
      <c r="L96" s="352"/>
      <c r="M96" s="352"/>
      <c r="N96" s="687"/>
    </row>
    <row r="97" spans="1:14" x14ac:dyDescent="0.2">
      <c r="B97" s="691"/>
      <c r="C97" s="353" t="s">
        <v>206</v>
      </c>
      <c r="D97" s="352"/>
      <c r="E97" s="352"/>
      <c r="F97" s="352"/>
      <c r="G97" s="352"/>
      <c r="H97" s="675"/>
      <c r="I97" s="675"/>
      <c r="J97" s="675"/>
      <c r="K97" s="352"/>
      <c r="L97" s="352"/>
      <c r="M97" s="352"/>
      <c r="N97" s="687"/>
    </row>
    <row r="98" spans="1:14" x14ac:dyDescent="0.2">
      <c r="B98" s="691"/>
      <c r="C98" s="352" t="s">
        <v>207</v>
      </c>
      <c r="D98" s="352"/>
      <c r="E98" s="352"/>
      <c r="F98" s="352"/>
      <c r="G98" s="352"/>
      <c r="H98" s="675"/>
      <c r="I98" s="675"/>
      <c r="J98" s="675"/>
      <c r="K98" s="352"/>
      <c r="L98" s="352"/>
      <c r="M98" s="352"/>
      <c r="N98" s="687"/>
    </row>
    <row r="99" spans="1:14" x14ac:dyDescent="0.2">
      <c r="B99" s="691"/>
      <c r="C99" s="352"/>
      <c r="D99" s="352"/>
      <c r="E99" s="352"/>
      <c r="F99" s="352"/>
      <c r="G99" s="352"/>
      <c r="H99" s="675"/>
      <c r="I99" s="675"/>
      <c r="J99" s="675"/>
      <c r="K99" s="352"/>
      <c r="L99" s="352"/>
      <c r="M99" s="352"/>
      <c r="N99" s="687"/>
    </row>
    <row r="100" spans="1:14" x14ac:dyDescent="0.2">
      <c r="B100" s="691"/>
      <c r="C100" s="353" t="s">
        <v>114</v>
      </c>
      <c r="D100" s="352"/>
      <c r="E100" s="352"/>
      <c r="F100" s="352"/>
      <c r="G100" s="352"/>
      <c r="H100" s="675"/>
      <c r="I100" s="675"/>
      <c r="J100" s="675"/>
      <c r="K100" s="352"/>
      <c r="L100" s="352"/>
      <c r="M100" s="352"/>
      <c r="N100" s="687"/>
    </row>
    <row r="101" spans="1:14" x14ac:dyDescent="0.2">
      <c r="B101" s="691"/>
      <c r="C101" s="352" t="s">
        <v>115</v>
      </c>
      <c r="D101" s="352"/>
      <c r="E101" s="352"/>
      <c r="F101" s="352"/>
      <c r="G101" s="352"/>
      <c r="H101" s="675"/>
      <c r="I101" s="675"/>
      <c r="J101" s="675"/>
      <c r="K101" s="352"/>
      <c r="L101" s="352"/>
      <c r="M101" s="352"/>
      <c r="N101" s="687"/>
    </row>
    <row r="102" spans="1:14" x14ac:dyDescent="0.2">
      <c r="A102" s="680"/>
      <c r="B102" s="691"/>
      <c r="C102" s="352"/>
      <c r="D102" s="352"/>
      <c r="E102" s="352"/>
      <c r="F102" s="352"/>
      <c r="G102" s="352"/>
      <c r="H102" s="675"/>
      <c r="I102" s="675"/>
      <c r="J102" s="675"/>
      <c r="K102" s="352"/>
      <c r="L102" s="352"/>
      <c r="M102" s="352"/>
      <c r="N102" s="687"/>
    </row>
    <row r="103" spans="1:14" x14ac:dyDescent="0.2">
      <c r="A103" s="680"/>
      <c r="B103" s="691"/>
      <c r="C103" s="353" t="s">
        <v>74</v>
      </c>
      <c r="D103" s="352"/>
      <c r="E103" s="352"/>
      <c r="F103" s="352"/>
      <c r="G103" s="352"/>
      <c r="H103" s="675"/>
      <c r="I103" s="675"/>
      <c r="J103" s="675"/>
      <c r="K103" s="352"/>
      <c r="L103" s="352"/>
      <c r="M103" s="352"/>
      <c r="N103" s="687"/>
    </row>
    <row r="104" spans="1:14" x14ac:dyDescent="0.2">
      <c r="A104" s="680"/>
      <c r="B104" s="691"/>
      <c r="C104" s="352" t="s">
        <v>209</v>
      </c>
      <c r="D104" s="352"/>
      <c r="E104" s="352"/>
      <c r="F104" s="352"/>
      <c r="G104" s="352"/>
      <c r="H104" s="675"/>
      <c r="I104" s="675"/>
      <c r="J104" s="675"/>
      <c r="K104" s="352"/>
      <c r="L104" s="352"/>
      <c r="M104" s="352"/>
      <c r="N104" s="687"/>
    </row>
    <row r="105" spans="1:14" x14ac:dyDescent="0.2">
      <c r="A105" s="680"/>
      <c r="B105" s="691"/>
      <c r="C105" s="352" t="s">
        <v>210</v>
      </c>
      <c r="D105" s="352"/>
      <c r="E105" s="352"/>
      <c r="F105" s="352"/>
      <c r="G105" s="352"/>
      <c r="H105" s="675"/>
      <c r="I105" s="675"/>
      <c r="J105" s="675"/>
      <c r="K105" s="352"/>
      <c r="L105" s="352"/>
      <c r="M105" s="352"/>
      <c r="N105" s="687"/>
    </row>
    <row r="106" spans="1:14" x14ac:dyDescent="0.2">
      <c r="A106" s="680"/>
      <c r="B106" s="695"/>
      <c r="C106" s="352"/>
      <c r="D106" s="352"/>
      <c r="E106" s="352"/>
      <c r="F106" s="352"/>
      <c r="G106" s="352"/>
      <c r="H106" s="352"/>
      <c r="I106" s="352"/>
      <c r="J106" s="352"/>
      <c r="K106" s="352"/>
      <c r="L106" s="352"/>
      <c r="M106" s="352"/>
      <c r="N106" s="687"/>
    </row>
    <row r="107" spans="1:14" x14ac:dyDescent="0.2">
      <c r="A107" s="680"/>
      <c r="B107" s="695"/>
      <c r="C107" s="375" t="s">
        <v>34</v>
      </c>
      <c r="D107" s="352"/>
      <c r="E107" s="352"/>
      <c r="F107" s="352"/>
      <c r="G107" s="352"/>
      <c r="H107" s="352"/>
      <c r="I107" s="352"/>
      <c r="J107" s="352"/>
      <c r="K107" s="352"/>
      <c r="L107" s="352"/>
      <c r="M107" s="352"/>
      <c r="N107" s="687"/>
    </row>
    <row r="108" spans="1:14" x14ac:dyDescent="0.2">
      <c r="A108" s="680"/>
      <c r="B108" s="695"/>
      <c r="C108" s="352" t="s">
        <v>392</v>
      </c>
      <c r="D108" s="352"/>
      <c r="E108" s="352"/>
      <c r="F108" s="352"/>
      <c r="G108" s="352"/>
      <c r="H108" s="352"/>
      <c r="I108" s="352"/>
      <c r="J108" s="352"/>
      <c r="K108" s="352"/>
      <c r="L108" s="352"/>
      <c r="M108" s="352"/>
      <c r="N108" s="687"/>
    </row>
    <row r="109" spans="1:14" x14ac:dyDescent="0.2">
      <c r="A109" s="680"/>
      <c r="B109" s="695"/>
      <c r="C109" s="352" t="s">
        <v>202</v>
      </c>
      <c r="D109" s="352"/>
      <c r="E109" s="352"/>
      <c r="F109" s="352"/>
      <c r="G109" s="352"/>
      <c r="H109" s="352"/>
      <c r="I109" s="352"/>
      <c r="J109" s="352"/>
      <c r="K109" s="352"/>
      <c r="L109" s="352"/>
      <c r="M109" s="352"/>
      <c r="N109" s="687"/>
    </row>
    <row r="110" spans="1:14" s="674" customFormat="1" x14ac:dyDescent="0.2">
      <c r="B110" s="695"/>
      <c r="C110" s="352"/>
      <c r="D110" s="352"/>
      <c r="E110" s="352"/>
      <c r="F110" s="352"/>
      <c r="G110" s="352"/>
      <c r="H110" s="352"/>
      <c r="I110" s="352"/>
      <c r="J110" s="352"/>
      <c r="K110" s="352"/>
      <c r="L110" s="352"/>
      <c r="M110" s="352"/>
      <c r="N110" s="692"/>
    </row>
    <row r="111" spans="1:14" s="674" customFormat="1" x14ac:dyDescent="0.2">
      <c r="B111" s="695"/>
      <c r="C111" s="375" t="s">
        <v>208</v>
      </c>
      <c r="D111" s="352"/>
      <c r="E111" s="352"/>
      <c r="F111" s="352"/>
      <c r="G111" s="352"/>
      <c r="H111" s="352"/>
      <c r="I111" s="352"/>
      <c r="J111" s="681" t="s">
        <v>319</v>
      </c>
      <c r="K111" s="352"/>
      <c r="L111" s="352"/>
      <c r="M111" s="352"/>
      <c r="N111" s="692"/>
    </row>
    <row r="112" spans="1:14" ht="15.75" x14ac:dyDescent="0.25">
      <c r="B112" s="695"/>
      <c r="C112" s="375"/>
      <c r="D112" s="352"/>
      <c r="E112" s="375"/>
      <c r="F112" s="352"/>
      <c r="G112" s="352"/>
      <c r="H112" s="352"/>
      <c r="I112" s="352"/>
      <c r="J112" s="682"/>
      <c r="K112" s="352"/>
      <c r="L112" s="352"/>
      <c r="M112" s="352"/>
      <c r="N112" s="696"/>
    </row>
    <row r="113" spans="2:14" x14ac:dyDescent="0.2">
      <c r="B113" s="697"/>
      <c r="C113" s="698"/>
      <c r="D113" s="699"/>
      <c r="E113" s="699"/>
      <c r="F113" s="699"/>
      <c r="G113" s="699"/>
      <c r="H113" s="699"/>
      <c r="I113" s="699"/>
      <c r="J113" s="700"/>
      <c r="K113" s="699"/>
      <c r="L113" s="699"/>
      <c r="M113" s="699"/>
      <c r="N113" s="701"/>
    </row>
  </sheetData>
  <sheetProtection algorithmName="SHA-512" hashValue="5Whd+Ib76fk8WnCEu9I9ArSczmwAjZSevKVKLZVApUEP2e+SA221u3lKBby0RODecRxi96aYcp9j6BtH7WYuOA==" saltValue="hcrDVZj+hJ+JCEHjEHFn8w==" spinCount="100000" sheet="1" objects="1" scenarios="1"/>
  <phoneticPr fontId="6" type="noConversion"/>
  <hyperlinks>
    <hyperlink ref="J111" r:id="rId1"/>
  </hyperlinks>
  <printOptions gridLines="1"/>
  <pageMargins left="0.74803149606299213" right="0.74803149606299213" top="0.98425196850393704" bottom="0.98425196850393704" header="0.51181102362204722" footer="0.51181102362204722"/>
  <pageSetup paperSize="9" scale="74" orientation="portrait" r:id="rId2"/>
  <headerFooter alignWithMargins="0">
    <oddHeader>&amp;L&amp;"Arial,Vet"&amp;A&amp;C&amp;"Arial,Vet"&amp;D&amp;R&amp;"Arial,Vet"&amp;F</oddHeader>
    <oddFooter>&amp;L&amp;"Arial,Vet"&amp;8gemaakt door keizer en goedhart, PO-Raad&amp;R&amp;"Arial,Vet"&amp;P</oddFooter>
  </headerFooter>
  <rowBreaks count="1" manualBreakCount="1">
    <brk id="57" min="1" max="1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08"/>
  <sheetViews>
    <sheetView zoomScale="85" zoomScaleNormal="85" zoomScaleSheetLayoutView="85" workbookViewId="0">
      <selection activeCell="B2" sqref="B2"/>
    </sheetView>
  </sheetViews>
  <sheetFormatPr defaultColWidth="9.7109375" defaultRowHeight="13.5" customHeight="1" x14ac:dyDescent="0.25"/>
  <cols>
    <col min="1" max="1" width="3.5703125" style="446" customWidth="1"/>
    <col min="2" max="2" width="2.7109375" style="292" customWidth="1"/>
    <col min="3" max="3" width="1.7109375" style="292" customWidth="1"/>
    <col min="4" max="4" width="2.5703125" style="292" customWidth="1"/>
    <col min="5" max="5" width="25.5703125" style="292" customWidth="1"/>
    <col min="6" max="6" width="8.5703125" style="293" customWidth="1"/>
    <col min="7" max="7" width="8.5703125" style="294" customWidth="1"/>
    <col min="8" max="8" width="1.5703125" style="294" customWidth="1"/>
    <col min="9" max="10" width="10.85546875" style="292" customWidth="1"/>
    <col min="11" max="13" width="1.5703125" style="292" customWidth="1"/>
    <col min="14" max="14" width="2.85546875" style="292" customWidth="1"/>
    <col min="15" max="15" width="25.7109375" style="292" customWidth="1"/>
    <col min="16" max="16" width="9.5703125" style="292" customWidth="1"/>
    <col min="17" max="17" width="8.5703125" style="292" customWidth="1"/>
    <col min="18" max="18" width="1.5703125" style="292" customWidth="1"/>
    <col min="19" max="20" width="10.5703125" style="292" customWidth="1"/>
    <col min="21" max="21" width="1.7109375" style="292" customWidth="1"/>
    <col min="22" max="22" width="2.85546875" style="292" customWidth="1"/>
    <col min="23" max="60" width="9.7109375" style="446"/>
    <col min="61" max="16384" width="9.7109375" style="292"/>
  </cols>
  <sheetData>
    <row r="1" spans="1:60" s="446" customFormat="1" ht="12.75" customHeight="1" x14ac:dyDescent="0.25">
      <c r="F1" s="452"/>
      <c r="G1" s="453"/>
      <c r="H1" s="453"/>
    </row>
    <row r="2" spans="1:60" ht="12.75" customHeight="1" x14ac:dyDescent="0.25">
      <c r="B2" s="588"/>
      <c r="C2" s="589"/>
      <c r="D2" s="589"/>
      <c r="E2" s="589"/>
      <c r="F2" s="590"/>
      <c r="G2" s="591"/>
      <c r="H2" s="591"/>
      <c r="I2" s="589"/>
      <c r="J2" s="589"/>
      <c r="K2" s="589"/>
      <c r="L2" s="589"/>
      <c r="M2" s="589"/>
      <c r="N2" s="589"/>
      <c r="O2" s="589"/>
      <c r="P2" s="589"/>
      <c r="Q2" s="589"/>
      <c r="R2" s="589"/>
      <c r="S2" s="589"/>
      <c r="T2" s="589"/>
      <c r="U2" s="589"/>
      <c r="V2" s="592"/>
    </row>
    <row r="3" spans="1:60" ht="12.75" customHeight="1" x14ac:dyDescent="0.25">
      <c r="B3" s="593"/>
      <c r="C3" s="295"/>
      <c r="D3" s="295"/>
      <c r="E3" s="295"/>
      <c r="F3" s="296"/>
      <c r="G3" s="297"/>
      <c r="H3" s="297"/>
      <c r="I3" s="295"/>
      <c r="J3" s="295"/>
      <c r="K3" s="295"/>
      <c r="L3" s="295"/>
      <c r="M3" s="295"/>
      <c r="N3" s="295"/>
      <c r="O3" s="295"/>
      <c r="P3" s="295"/>
      <c r="Q3" s="295"/>
      <c r="R3" s="295"/>
      <c r="S3" s="295"/>
      <c r="T3" s="295"/>
      <c r="U3" s="295"/>
      <c r="V3" s="594"/>
    </row>
    <row r="4" spans="1:60" s="308" customFormat="1" ht="18" customHeight="1" x14ac:dyDescent="0.3">
      <c r="A4" s="447"/>
      <c r="B4" s="595"/>
      <c r="C4" s="465" t="str">
        <f>"WERKGEVERSLASTEN PO "&amp;tabellen!B1</f>
        <v>WERKGEVERSLASTEN PO 2018</v>
      </c>
      <c r="D4" s="305"/>
      <c r="E4" s="305"/>
      <c r="F4" s="306"/>
      <c r="G4" s="307"/>
      <c r="H4" s="306"/>
      <c r="I4" s="305"/>
      <c r="J4" s="305"/>
      <c r="K4" s="305"/>
      <c r="L4" s="305"/>
      <c r="M4" s="305"/>
      <c r="N4" s="305"/>
      <c r="O4" s="305"/>
      <c r="P4" s="305"/>
      <c r="Q4" s="305"/>
      <c r="R4" s="305"/>
      <c r="S4" s="305"/>
      <c r="T4" s="305"/>
      <c r="U4" s="305"/>
      <c r="V4" s="596"/>
      <c r="W4" s="447"/>
      <c r="X4" s="447"/>
      <c r="Y4" s="447"/>
      <c r="Z4" s="447"/>
      <c r="AA4" s="447"/>
      <c r="AB4" s="447"/>
      <c r="AC4" s="447"/>
      <c r="AD4" s="447"/>
      <c r="AE4" s="447"/>
      <c r="AF4" s="447"/>
      <c r="AG4" s="447"/>
      <c r="AH4" s="447"/>
      <c r="AI4" s="447"/>
      <c r="AJ4" s="447"/>
      <c r="AK4" s="447"/>
      <c r="AL4" s="447"/>
      <c r="AM4" s="447"/>
      <c r="AN4" s="447"/>
      <c r="AO4" s="447"/>
      <c r="AP4" s="447"/>
      <c r="AQ4" s="447"/>
      <c r="AR4" s="447"/>
      <c r="AS4" s="447"/>
      <c r="AT4" s="447"/>
      <c r="AU4" s="447"/>
      <c r="AV4" s="447"/>
      <c r="AW4" s="447"/>
      <c r="AX4" s="447"/>
      <c r="AY4" s="447"/>
      <c r="AZ4" s="447"/>
      <c r="BA4" s="447"/>
      <c r="BB4" s="447"/>
      <c r="BC4" s="447"/>
      <c r="BD4" s="447"/>
      <c r="BE4" s="447"/>
      <c r="BF4" s="447"/>
      <c r="BG4" s="447"/>
      <c r="BH4" s="447"/>
    </row>
    <row r="5" spans="1:60" s="304" customFormat="1" ht="13.5" customHeight="1" x14ac:dyDescent="0.25">
      <c r="A5" s="448"/>
      <c r="B5" s="597"/>
      <c r="C5" s="53" t="str">
        <f>+tabellen!C1 &amp;" "&amp; tabellen!B1</f>
        <v xml:space="preserve"> vanaf 1 januari  2018</v>
      </c>
      <c r="D5" s="300"/>
      <c r="E5" s="53"/>
      <c r="F5" s="301"/>
      <c r="G5" s="302"/>
      <c r="H5" s="302"/>
      <c r="I5" s="303"/>
      <c r="J5" s="303"/>
      <c r="K5" s="300"/>
      <c r="L5" s="300"/>
      <c r="M5" s="300"/>
      <c r="N5" s="300"/>
      <c r="O5" s="300"/>
      <c r="P5" s="300"/>
      <c r="Q5" s="300"/>
      <c r="R5" s="300"/>
      <c r="S5" s="300"/>
      <c r="T5" s="300"/>
      <c r="U5" s="300"/>
      <c r="V5" s="59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A5" s="448"/>
      <c r="BB5" s="448"/>
      <c r="BC5" s="448"/>
      <c r="BD5" s="448"/>
      <c r="BE5" s="448"/>
      <c r="BF5" s="448"/>
      <c r="BG5" s="448"/>
      <c r="BH5" s="448"/>
    </row>
    <row r="6" spans="1:60" ht="12.75" customHeight="1" x14ac:dyDescent="0.25">
      <c r="B6" s="593"/>
      <c r="C6" s="295"/>
      <c r="D6" s="295"/>
      <c r="E6" s="298"/>
      <c r="F6" s="296"/>
      <c r="G6" s="297"/>
      <c r="H6" s="297"/>
      <c r="I6" s="299"/>
      <c r="J6" s="299"/>
      <c r="K6" s="295"/>
      <c r="L6" s="295"/>
      <c r="M6" s="295"/>
      <c r="N6" s="295"/>
      <c r="O6" s="295"/>
      <c r="P6" s="295"/>
      <c r="Q6" s="295"/>
      <c r="R6" s="295"/>
      <c r="S6" s="295"/>
      <c r="T6" s="295"/>
      <c r="U6" s="295"/>
      <c r="V6" s="594"/>
    </row>
    <row r="7" spans="1:60" ht="12.75" customHeight="1" x14ac:dyDescent="0.25">
      <c r="B7" s="593"/>
      <c r="C7" s="295"/>
      <c r="D7" s="295"/>
      <c r="E7" s="298"/>
      <c r="F7" s="296"/>
      <c r="G7" s="297"/>
      <c r="H7" s="297"/>
      <c r="I7" s="299"/>
      <c r="J7" s="299"/>
      <c r="K7" s="295"/>
      <c r="L7" s="295"/>
      <c r="M7" s="295"/>
      <c r="N7" s="295"/>
      <c r="O7" s="295"/>
      <c r="P7" s="295"/>
      <c r="Q7" s="295"/>
      <c r="R7" s="295"/>
      <c r="S7" s="295"/>
      <c r="T7" s="295"/>
      <c r="U7" s="295"/>
      <c r="V7" s="594"/>
    </row>
    <row r="8" spans="1:60" s="376" customFormat="1" ht="12.75" customHeight="1" x14ac:dyDescent="0.2">
      <c r="A8" s="449"/>
      <c r="B8" s="599"/>
      <c r="C8" s="377"/>
      <c r="D8" s="377"/>
      <c r="E8" s="378"/>
      <c r="F8" s="379"/>
      <c r="G8" s="342"/>
      <c r="H8" s="342"/>
      <c r="I8" s="380"/>
      <c r="J8" s="380"/>
      <c r="K8" s="377"/>
      <c r="L8" s="381"/>
      <c r="M8" s="519"/>
      <c r="N8" s="519"/>
      <c r="O8" s="519"/>
      <c r="P8" s="519"/>
      <c r="Q8" s="519"/>
      <c r="R8" s="519"/>
      <c r="S8" s="519"/>
      <c r="T8" s="519"/>
      <c r="U8" s="401"/>
      <c r="V8" s="600"/>
      <c r="W8" s="449"/>
      <c r="X8" s="449"/>
      <c r="Y8" s="449"/>
      <c r="Z8" s="449"/>
      <c r="AA8" s="449"/>
      <c r="AB8" s="449"/>
      <c r="AC8" s="449"/>
      <c r="AD8" s="449"/>
      <c r="AE8" s="449"/>
      <c r="AF8" s="449"/>
      <c r="AG8" s="449"/>
      <c r="AH8" s="449"/>
      <c r="AI8" s="449"/>
      <c r="AJ8" s="449"/>
      <c r="AK8" s="449"/>
      <c r="AL8" s="449"/>
      <c r="AM8" s="449"/>
      <c r="AN8" s="449"/>
      <c r="AO8" s="449"/>
      <c r="AP8" s="449"/>
      <c r="AQ8" s="449"/>
      <c r="AR8" s="449"/>
      <c r="AS8" s="449"/>
      <c r="AT8" s="449"/>
      <c r="AU8" s="449"/>
      <c r="AV8" s="449"/>
      <c r="AW8" s="449"/>
      <c r="AX8" s="449"/>
      <c r="AY8" s="449"/>
      <c r="AZ8" s="449"/>
      <c r="BA8" s="449"/>
      <c r="BB8" s="449"/>
      <c r="BC8" s="449"/>
      <c r="BD8" s="449"/>
      <c r="BE8" s="449"/>
      <c r="BF8" s="449"/>
      <c r="BG8" s="449"/>
      <c r="BH8" s="449"/>
    </row>
    <row r="9" spans="1:60" s="376" customFormat="1" ht="12.75" customHeight="1" x14ac:dyDescent="0.2">
      <c r="A9" s="449"/>
      <c r="B9" s="599"/>
      <c r="C9" s="377"/>
      <c r="D9" s="389" t="s">
        <v>387</v>
      </c>
      <c r="E9" s="378"/>
      <c r="F9" s="379"/>
      <c r="G9" s="616"/>
      <c r="H9" s="616"/>
      <c r="I9" s="380"/>
      <c r="J9" s="380"/>
      <c r="K9" s="377"/>
      <c r="L9" s="381"/>
      <c r="M9" s="519"/>
      <c r="N9" s="389" t="s">
        <v>386</v>
      </c>
      <c r="O9" s="519"/>
      <c r="P9" s="519"/>
      <c r="Q9" s="519"/>
      <c r="R9" s="519"/>
      <c r="S9" s="519"/>
      <c r="T9" s="519"/>
      <c r="U9" s="401"/>
      <c r="V9" s="600"/>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row>
    <row r="10" spans="1:60" s="376" customFormat="1" ht="12.75" customHeight="1" x14ac:dyDescent="0.2">
      <c r="A10" s="449"/>
      <c r="B10" s="599"/>
      <c r="C10" s="377"/>
      <c r="D10" s="464"/>
      <c r="E10" s="384"/>
      <c r="F10" s="379"/>
      <c r="G10" s="385">
        <f ca="1">NOW()</f>
        <v>43103.670106134261</v>
      </c>
      <c r="H10" s="386"/>
      <c r="I10" s="387">
        <f ca="1">YEAR(G10)-YEAR(I12)</f>
        <v>58</v>
      </c>
      <c r="J10" s="388">
        <f ca="1">MONTH(G10)-MONTH(I12)</f>
        <v>0</v>
      </c>
      <c r="K10" s="377"/>
      <c r="L10" s="381"/>
      <c r="M10" s="519"/>
      <c r="O10" s="402"/>
      <c r="P10" s="403"/>
      <c r="Q10" s="404"/>
      <c r="R10" s="404"/>
      <c r="S10" s="458" t="s">
        <v>62</v>
      </c>
      <c r="T10" s="459" t="s">
        <v>63</v>
      </c>
      <c r="U10" s="401"/>
      <c r="V10" s="600"/>
      <c r="W10" s="449"/>
      <c r="X10" s="449"/>
      <c r="Y10" s="449"/>
      <c r="Z10" s="449"/>
      <c r="AA10" s="449"/>
      <c r="AB10" s="449"/>
      <c r="AC10" s="449"/>
      <c r="AD10" s="449"/>
      <c r="AE10" s="449"/>
      <c r="AF10" s="449"/>
      <c r="AG10" s="449"/>
      <c r="AH10" s="449"/>
      <c r="AI10" s="449"/>
      <c r="AJ10" s="449"/>
      <c r="AK10" s="449"/>
      <c r="AL10" s="449"/>
      <c r="AM10" s="449"/>
      <c r="AN10" s="449"/>
      <c r="AO10" s="449"/>
      <c r="AP10" s="449"/>
      <c r="AQ10" s="449"/>
      <c r="AR10" s="449"/>
      <c r="AS10" s="449"/>
      <c r="AT10" s="449"/>
      <c r="AU10" s="449"/>
      <c r="AV10" s="449"/>
      <c r="AW10" s="449"/>
      <c r="AX10" s="449"/>
      <c r="AY10" s="449"/>
      <c r="AZ10" s="449"/>
      <c r="BA10" s="449"/>
      <c r="BB10" s="449"/>
      <c r="BC10" s="449"/>
      <c r="BD10" s="449"/>
      <c r="BE10" s="449"/>
      <c r="BF10" s="449"/>
      <c r="BG10" s="449"/>
      <c r="BH10" s="449"/>
    </row>
    <row r="11" spans="1:60" s="376" customFormat="1" ht="12.75" customHeight="1" x14ac:dyDescent="0.2">
      <c r="A11" s="449"/>
      <c r="B11" s="599"/>
      <c r="C11" s="377"/>
      <c r="D11" s="377" t="s">
        <v>73</v>
      </c>
      <c r="E11" s="377"/>
      <c r="F11" s="380"/>
      <c r="G11" s="380"/>
      <c r="H11" s="380"/>
      <c r="I11" s="392" t="s">
        <v>32</v>
      </c>
      <c r="J11" s="393"/>
      <c r="K11" s="377"/>
      <c r="L11" s="381"/>
      <c r="M11" s="378"/>
      <c r="N11" s="426" t="s">
        <v>49</v>
      </c>
      <c r="O11" s="377" t="s">
        <v>61</v>
      </c>
      <c r="P11" s="382"/>
      <c r="Q11" s="383"/>
      <c r="R11" s="383"/>
      <c r="S11" s="636">
        <f>+J38/12</f>
        <v>4204.166666666667</v>
      </c>
      <c r="T11" s="636">
        <f>+J38</f>
        <v>50450</v>
      </c>
      <c r="U11" s="377"/>
      <c r="V11" s="600"/>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49"/>
      <c r="AY11" s="449"/>
      <c r="AZ11" s="449"/>
      <c r="BA11" s="449"/>
      <c r="BB11" s="449"/>
      <c r="BC11" s="449"/>
      <c r="BD11" s="449"/>
      <c r="BE11" s="449"/>
      <c r="BF11" s="449"/>
      <c r="BG11" s="449"/>
      <c r="BH11" s="449"/>
    </row>
    <row r="12" spans="1:60" s="376" customFormat="1" ht="12.75" customHeight="1" x14ac:dyDescent="0.2">
      <c r="A12" s="449"/>
      <c r="B12" s="601"/>
      <c r="C12" s="389"/>
      <c r="D12" s="377" t="s">
        <v>230</v>
      </c>
      <c r="E12" s="377"/>
      <c r="F12" s="379"/>
      <c r="G12" s="342"/>
      <c r="H12" s="342"/>
      <c r="I12" s="395">
        <v>21916</v>
      </c>
      <c r="J12" s="396"/>
      <c r="K12" s="377"/>
      <c r="L12" s="381"/>
      <c r="M12" s="378"/>
      <c r="N12" s="409" t="s">
        <v>50</v>
      </c>
      <c r="O12" s="378" t="s">
        <v>39</v>
      </c>
      <c r="P12" s="410"/>
      <c r="Q12" s="411"/>
      <c r="R12" s="412"/>
      <c r="S12" s="648">
        <f>IF($J$38/$I$18&lt;tabellen!E53,0,(+$J$38-tabellen!E53*I18)/12*tabellen!$D53)</f>
        <v>212.39749999999998</v>
      </c>
      <c r="T12" s="648">
        <f>IF($J$38/$I$18&lt;tabellen!E53,0,(+$J$38-tabellen!E53*I18)*tabellen!$D53)</f>
        <v>2548.77</v>
      </c>
      <c r="U12" s="377"/>
      <c r="V12" s="600"/>
      <c r="W12" s="449"/>
      <c r="X12" s="449"/>
      <c r="Y12" s="449"/>
      <c r="Z12" s="449"/>
      <c r="AA12" s="449"/>
      <c r="AB12" s="449"/>
      <c r="AC12" s="449"/>
      <c r="AD12" s="449"/>
      <c r="AE12" s="449"/>
      <c r="AF12" s="449"/>
      <c r="AG12" s="449"/>
      <c r="AH12" s="449"/>
      <c r="AI12" s="449"/>
      <c r="AJ12" s="449"/>
      <c r="AK12" s="449"/>
      <c r="AL12" s="449"/>
      <c r="AM12" s="449"/>
      <c r="AN12" s="449"/>
      <c r="AO12" s="449"/>
      <c r="AP12" s="449"/>
      <c r="AQ12" s="449"/>
      <c r="AR12" s="449"/>
      <c r="AS12" s="449"/>
      <c r="AT12" s="449"/>
      <c r="AU12" s="449"/>
      <c r="AV12" s="449"/>
      <c r="AW12" s="449"/>
      <c r="AX12" s="449"/>
      <c r="AY12" s="449"/>
      <c r="AZ12" s="449"/>
      <c r="BA12" s="449"/>
      <c r="BB12" s="449"/>
      <c r="BC12" s="449"/>
      <c r="BD12" s="449"/>
      <c r="BE12" s="449"/>
      <c r="BF12" s="449"/>
      <c r="BG12" s="449"/>
      <c r="BH12" s="449"/>
    </row>
    <row r="13" spans="1:60" s="376" customFormat="1" ht="12.75" customHeight="1" x14ac:dyDescent="0.2">
      <c r="A13" s="449"/>
      <c r="B13" s="599"/>
      <c r="C13" s="377"/>
      <c r="D13" s="389"/>
      <c r="E13" s="377"/>
      <c r="F13" s="379"/>
      <c r="G13" s="342"/>
      <c r="H13" s="342"/>
      <c r="I13" s="380"/>
      <c r="J13" s="400"/>
      <c r="K13" s="377"/>
      <c r="L13" s="381"/>
      <c r="M13" s="408"/>
      <c r="N13" s="409" t="s">
        <v>51</v>
      </c>
      <c r="O13" s="378" t="s">
        <v>190</v>
      </c>
      <c r="P13" s="410"/>
      <c r="Q13" s="411"/>
      <c r="R13" s="412"/>
      <c r="S13" s="648">
        <f>IF($J$38/$I$18&lt;tabellen!E54,0,(+$J$38-tabellen!E54*$I$18)/12*tabellen!$D54)</f>
        <v>3.75</v>
      </c>
      <c r="T13" s="648">
        <f>IF($J$38/$I$18&lt;tabellen!E54,0,(+$J$38-tabellen!E54*$I$18)*tabellen!$D54)</f>
        <v>45</v>
      </c>
      <c r="U13" s="389"/>
      <c r="V13" s="600"/>
      <c r="W13" s="449"/>
      <c r="X13" s="449"/>
      <c r="Y13" s="449"/>
      <c r="Z13" s="449"/>
      <c r="AA13" s="449"/>
      <c r="AB13" s="449"/>
      <c r="AC13" s="449"/>
      <c r="AD13" s="449"/>
      <c r="AE13" s="449"/>
      <c r="AF13" s="449"/>
      <c r="AG13" s="449"/>
      <c r="AH13" s="449"/>
      <c r="AI13" s="449"/>
      <c r="AJ13" s="449"/>
      <c r="AK13" s="449"/>
      <c r="AL13" s="449"/>
      <c r="AM13" s="449"/>
      <c r="AN13" s="449"/>
      <c r="AO13" s="449"/>
      <c r="AP13" s="449"/>
      <c r="AQ13" s="449"/>
      <c r="AR13" s="449"/>
      <c r="AS13" s="449"/>
      <c r="AT13" s="449"/>
      <c r="AU13" s="449"/>
      <c r="AV13" s="449"/>
      <c r="AW13" s="449"/>
      <c r="AX13" s="449"/>
      <c r="AY13" s="449"/>
      <c r="AZ13" s="449"/>
      <c r="BA13" s="449"/>
      <c r="BB13" s="449"/>
      <c r="BC13" s="449"/>
      <c r="BD13" s="449"/>
      <c r="BE13" s="449"/>
      <c r="BF13" s="449"/>
      <c r="BG13" s="449"/>
      <c r="BH13" s="449"/>
    </row>
    <row r="14" spans="1:60" s="376" customFormat="1" ht="12.75" customHeight="1" x14ac:dyDescent="0.2">
      <c r="A14" s="449"/>
      <c r="B14" s="599"/>
      <c r="C14" s="377"/>
      <c r="D14" s="464" t="s">
        <v>23</v>
      </c>
      <c r="E14" s="377"/>
      <c r="F14" s="380"/>
      <c r="G14" s="380"/>
      <c r="H14" s="380"/>
      <c r="I14" s="457"/>
      <c r="J14" s="380"/>
      <c r="K14" s="377"/>
      <c r="L14" s="381"/>
      <c r="M14" s="408"/>
      <c r="N14" s="409" t="s">
        <v>52</v>
      </c>
      <c r="O14" s="378" t="s">
        <v>321</v>
      </c>
      <c r="P14" s="410"/>
      <c r="Q14" s="411"/>
      <c r="R14" s="412"/>
      <c r="S14" s="648">
        <f>$J$38/12*tabellen!$D55</f>
        <v>0</v>
      </c>
      <c r="T14" s="648">
        <f>$J$38*tabellen!$D55</f>
        <v>0</v>
      </c>
      <c r="U14" s="389"/>
      <c r="V14" s="600"/>
      <c r="W14" s="449"/>
      <c r="X14" s="449"/>
      <c r="Y14" s="449"/>
      <c r="Z14" s="449"/>
      <c r="AA14" s="449"/>
      <c r="AB14" s="449"/>
      <c r="AC14" s="449"/>
      <c r="AD14" s="449"/>
      <c r="AE14" s="449"/>
      <c r="AF14" s="449"/>
      <c r="AG14" s="449"/>
      <c r="AH14" s="449"/>
      <c r="AI14" s="449"/>
      <c r="AJ14" s="449"/>
      <c r="AK14" s="449"/>
      <c r="AL14" s="449"/>
      <c r="AM14" s="449"/>
      <c r="AN14" s="449"/>
      <c r="AO14" s="449"/>
      <c r="AP14" s="449"/>
      <c r="AQ14" s="449"/>
      <c r="AR14" s="449"/>
      <c r="AS14" s="449"/>
      <c r="AT14" s="449"/>
      <c r="AU14" s="449"/>
      <c r="AV14" s="449"/>
      <c r="AW14" s="449"/>
      <c r="AX14" s="449"/>
      <c r="AY14" s="449"/>
      <c r="AZ14" s="449"/>
      <c r="BA14" s="449"/>
      <c r="BB14" s="449"/>
      <c r="BC14" s="449"/>
      <c r="BD14" s="449"/>
      <c r="BE14" s="449"/>
      <c r="BF14" s="449"/>
      <c r="BG14" s="449"/>
      <c r="BH14" s="449"/>
    </row>
    <row r="15" spans="1:60" s="376" customFormat="1" ht="12.75" customHeight="1" x14ac:dyDescent="0.2">
      <c r="A15" s="449"/>
      <c r="B15" s="599"/>
      <c r="C15" s="377"/>
      <c r="D15" s="382" t="s">
        <v>21</v>
      </c>
      <c r="E15" s="377"/>
      <c r="F15" s="380"/>
      <c r="G15" s="379"/>
      <c r="H15" s="342"/>
      <c r="I15" s="405" t="s">
        <v>0</v>
      </c>
      <c r="J15" s="406">
        <f>IF(AND(I15&gt;0,I15&lt;15),0,100)</f>
        <v>100</v>
      </c>
      <c r="K15" s="377"/>
      <c r="L15" s="381"/>
      <c r="M15" s="377"/>
      <c r="N15" s="417" t="s">
        <v>53</v>
      </c>
      <c r="O15" s="408" t="s">
        <v>46</v>
      </c>
      <c r="P15" s="418"/>
      <c r="Q15" s="419"/>
      <c r="R15" s="420"/>
      <c r="S15" s="657">
        <f>SUM(S12:S14)</f>
        <v>216.14749999999998</v>
      </c>
      <c r="T15" s="657">
        <f>SUM(T12:T14)</f>
        <v>2593.77</v>
      </c>
      <c r="U15" s="378"/>
      <c r="V15" s="600"/>
      <c r="W15" s="449"/>
      <c r="X15" s="449"/>
      <c r="Y15" s="449"/>
      <c r="Z15" s="449"/>
      <c r="AA15" s="449"/>
      <c r="AB15" s="449"/>
      <c r="AC15" s="449"/>
      <c r="AD15" s="449"/>
      <c r="AE15" s="449"/>
      <c r="AF15" s="449"/>
      <c r="AG15" s="449"/>
      <c r="AH15" s="449"/>
      <c r="AI15" s="449"/>
      <c r="AJ15" s="449"/>
      <c r="AK15" s="449"/>
      <c r="AL15" s="449"/>
      <c r="AM15" s="449"/>
      <c r="AN15" s="449"/>
      <c r="AO15" s="449"/>
      <c r="AP15" s="449"/>
      <c r="AQ15" s="449"/>
      <c r="AR15" s="449"/>
      <c r="AS15" s="449"/>
      <c r="AT15" s="449"/>
      <c r="AU15" s="449"/>
      <c r="AV15" s="449"/>
      <c r="AW15" s="449"/>
      <c r="AX15" s="449"/>
      <c r="AY15" s="449"/>
      <c r="AZ15" s="449"/>
      <c r="BA15" s="449"/>
      <c r="BB15" s="449"/>
      <c r="BC15" s="449"/>
      <c r="BD15" s="449"/>
      <c r="BE15" s="449"/>
      <c r="BF15" s="449"/>
      <c r="BG15" s="449"/>
      <c r="BH15" s="449"/>
    </row>
    <row r="16" spans="1:60" s="376" customFormat="1" ht="12.75" customHeight="1" x14ac:dyDescent="0.2">
      <c r="A16" s="449"/>
      <c r="B16" s="599"/>
      <c r="C16" s="377"/>
      <c r="D16" s="382" t="s">
        <v>22</v>
      </c>
      <c r="E16" s="377"/>
      <c r="F16" s="380"/>
      <c r="G16" s="342"/>
      <c r="H16" s="342"/>
      <c r="I16" s="405">
        <v>15</v>
      </c>
      <c r="J16" s="406">
        <f>VLOOKUP(I15,salaristabellen,22,FALSE)</f>
        <v>15</v>
      </c>
      <c r="K16" s="377"/>
      <c r="L16" s="381"/>
      <c r="M16" s="377"/>
      <c r="N16" s="417"/>
      <c r="O16" s="408"/>
      <c r="P16" s="418"/>
      <c r="Q16" s="419"/>
      <c r="R16" s="420"/>
      <c r="S16" s="649"/>
      <c r="T16" s="649"/>
      <c r="U16" s="378"/>
      <c r="V16" s="600"/>
      <c r="W16" s="449"/>
      <c r="X16" s="449"/>
      <c r="Y16" s="449"/>
      <c r="Z16" s="449"/>
      <c r="AA16" s="449"/>
      <c r="AB16" s="449"/>
      <c r="AC16" s="449"/>
      <c r="AD16" s="449"/>
      <c r="AE16" s="449"/>
      <c r="AF16" s="449"/>
      <c r="AG16" s="449"/>
      <c r="AH16" s="449"/>
      <c r="AI16" s="449"/>
      <c r="AJ16" s="449"/>
      <c r="AK16" s="449"/>
      <c r="AL16" s="449"/>
      <c r="AM16" s="449"/>
      <c r="AN16" s="449"/>
      <c r="AO16" s="449"/>
      <c r="AP16" s="449"/>
      <c r="AQ16" s="449"/>
      <c r="AR16" s="449"/>
      <c r="AS16" s="449"/>
      <c r="AT16" s="449"/>
      <c r="AU16" s="449"/>
      <c r="AV16" s="449"/>
      <c r="AW16" s="449"/>
      <c r="AX16" s="449"/>
      <c r="AY16" s="449"/>
      <c r="AZ16" s="449"/>
      <c r="BA16" s="449"/>
      <c r="BB16" s="449"/>
      <c r="BC16" s="449"/>
      <c r="BD16" s="449"/>
      <c r="BE16" s="449"/>
      <c r="BF16" s="449"/>
      <c r="BG16" s="449"/>
      <c r="BH16" s="449"/>
    </row>
    <row r="17" spans="1:60" s="376" customFormat="1" ht="12.75" customHeight="1" x14ac:dyDescent="0.2">
      <c r="A17" s="449"/>
      <c r="B17" s="599"/>
      <c r="C17" s="377"/>
      <c r="D17" s="382" t="s">
        <v>24</v>
      </c>
      <c r="E17" s="377"/>
      <c r="F17" s="380"/>
      <c r="G17" s="342"/>
      <c r="H17" s="342"/>
      <c r="I17" s="647">
        <f>VLOOKUP(I15,salaristabellen,I16+1,FALSE)</f>
        <v>3482</v>
      </c>
      <c r="J17" s="380"/>
      <c r="K17" s="377"/>
      <c r="L17" s="381"/>
      <c r="M17" s="389"/>
      <c r="N17" s="407" t="s">
        <v>54</v>
      </c>
      <c r="O17" s="389" t="s">
        <v>371</v>
      </c>
      <c r="P17" s="390"/>
      <c r="Q17" s="391"/>
      <c r="R17" s="391"/>
      <c r="S17" s="637">
        <f>+(J38+J39)/12-S15</f>
        <v>4016.6430066666671</v>
      </c>
      <c r="T17" s="637">
        <f>+J38+J39-T15</f>
        <v>48199.716080000006</v>
      </c>
      <c r="U17" s="378"/>
      <c r="V17" s="600"/>
      <c r="W17" s="449"/>
      <c r="X17" s="449"/>
      <c r="Y17" s="449"/>
      <c r="Z17" s="449"/>
      <c r="AA17" s="449"/>
      <c r="AB17" s="449"/>
      <c r="AC17" s="449"/>
      <c r="AD17" s="449"/>
      <c r="AE17" s="449"/>
      <c r="AF17" s="449"/>
      <c r="AG17" s="449"/>
      <c r="AH17" s="449"/>
      <c r="AI17" s="449"/>
      <c r="AJ17" s="449"/>
      <c r="AK17" s="449"/>
      <c r="AL17" s="449"/>
      <c r="AM17" s="449"/>
      <c r="AN17" s="449"/>
      <c r="AO17" s="449"/>
      <c r="AP17" s="449"/>
      <c r="AQ17" s="449"/>
      <c r="AR17" s="449"/>
      <c r="AS17" s="449"/>
      <c r="AT17" s="449"/>
      <c r="AU17" s="449"/>
      <c r="AV17" s="449"/>
      <c r="AW17" s="449"/>
      <c r="AX17" s="449"/>
      <c r="AY17" s="449"/>
      <c r="AZ17" s="449"/>
      <c r="BA17" s="449"/>
      <c r="BB17" s="449"/>
      <c r="BC17" s="449"/>
      <c r="BD17" s="449"/>
      <c r="BE17" s="449"/>
      <c r="BF17" s="449"/>
      <c r="BG17" s="449"/>
      <c r="BH17" s="449"/>
    </row>
    <row r="18" spans="1:60" s="376" customFormat="1" ht="12.75" customHeight="1" x14ac:dyDescent="0.2">
      <c r="A18" s="449"/>
      <c r="B18" s="599"/>
      <c r="C18" s="377"/>
      <c r="D18" s="377" t="s">
        <v>25</v>
      </c>
      <c r="E18" s="377"/>
      <c r="F18" s="379"/>
      <c r="G18" s="342"/>
      <c r="H18" s="342"/>
      <c r="I18" s="413">
        <v>1</v>
      </c>
      <c r="J18" s="380"/>
      <c r="K18" s="377"/>
      <c r="L18" s="381"/>
      <c r="M18" s="389"/>
      <c r="N18" s="426" t="s">
        <v>55</v>
      </c>
      <c r="O18" s="377" t="s">
        <v>372</v>
      </c>
      <c r="P18" s="390"/>
      <c r="Q18" s="391"/>
      <c r="R18" s="391"/>
      <c r="S18" s="636">
        <f>I48</f>
        <v>277.14999999999998</v>
      </c>
      <c r="T18" s="636">
        <f>J48</f>
        <v>3325.7999999999997</v>
      </c>
      <c r="U18" s="408"/>
      <c r="V18" s="600"/>
      <c r="W18" s="449"/>
      <c r="X18" s="449"/>
      <c r="Y18" s="449"/>
      <c r="Z18" s="449"/>
      <c r="AA18" s="449"/>
      <c r="AB18" s="449"/>
      <c r="AC18" s="449"/>
      <c r="AD18" s="449"/>
      <c r="AE18" s="449"/>
      <c r="AF18" s="449"/>
      <c r="AG18" s="449"/>
      <c r="AH18" s="449"/>
      <c r="AI18" s="449"/>
      <c r="AJ18" s="449"/>
      <c r="AK18" s="449"/>
      <c r="AL18" s="449"/>
      <c r="AM18" s="449"/>
      <c r="AN18" s="449"/>
      <c r="AO18" s="449"/>
      <c r="AP18" s="449"/>
      <c r="AQ18" s="449"/>
      <c r="AR18" s="449"/>
      <c r="AS18" s="449"/>
      <c r="AT18" s="449"/>
      <c r="AU18" s="449"/>
      <c r="AV18" s="449"/>
      <c r="AW18" s="449"/>
      <c r="AX18" s="449"/>
      <c r="AY18" s="449"/>
      <c r="AZ18" s="449"/>
      <c r="BA18" s="449"/>
      <c r="BB18" s="449"/>
      <c r="BC18" s="449"/>
      <c r="BD18" s="449"/>
      <c r="BE18" s="449"/>
      <c r="BF18" s="449"/>
      <c r="BG18" s="449"/>
      <c r="BH18" s="449"/>
    </row>
    <row r="19" spans="1:60" s="376" customFormat="1" ht="12.75" customHeight="1" x14ac:dyDescent="0.2">
      <c r="A19" s="449"/>
      <c r="B19" s="599"/>
      <c r="C19" s="377"/>
      <c r="D19" s="390" t="s">
        <v>26</v>
      </c>
      <c r="E19" s="377"/>
      <c r="F19" s="380"/>
      <c r="G19" s="342"/>
      <c r="H19" s="342"/>
      <c r="I19" s="635">
        <f>+I17*I18</f>
        <v>3482</v>
      </c>
      <c r="J19" s="380"/>
      <c r="K19" s="377"/>
      <c r="L19" s="381"/>
      <c r="M19" s="377"/>
      <c r="N19" s="407" t="s">
        <v>56</v>
      </c>
      <c r="O19" s="389" t="s">
        <v>92</v>
      </c>
      <c r="P19" s="390"/>
      <c r="Q19" s="391"/>
      <c r="R19" s="391"/>
      <c r="S19" s="638">
        <f>SUM(S17:S18)</f>
        <v>4293.7930066666668</v>
      </c>
      <c r="T19" s="638">
        <f>SUM(T17:T18)</f>
        <v>51525.516080000009</v>
      </c>
      <c r="U19" s="408"/>
      <c r="V19" s="600"/>
      <c r="W19" s="449"/>
      <c r="X19" s="449"/>
      <c r="Y19" s="449"/>
      <c r="Z19" s="449"/>
      <c r="AA19" s="449"/>
      <c r="AB19" s="449"/>
      <c r="AC19" s="449"/>
      <c r="AD19" s="449"/>
      <c r="AE19" s="449"/>
      <c r="AF19" s="449"/>
      <c r="AG19" s="449"/>
      <c r="AH19" s="449"/>
      <c r="AI19" s="449"/>
      <c r="AJ19" s="449"/>
      <c r="AK19" s="449"/>
      <c r="AL19" s="449"/>
      <c r="AM19" s="449"/>
      <c r="AN19" s="449"/>
      <c r="AO19" s="449"/>
      <c r="AP19" s="449"/>
      <c r="AQ19" s="449"/>
      <c r="AR19" s="449"/>
      <c r="AS19" s="449"/>
      <c r="AT19" s="449"/>
      <c r="AU19" s="449"/>
      <c r="AV19" s="449"/>
      <c r="AW19" s="449"/>
      <c r="AX19" s="449"/>
      <c r="AY19" s="449"/>
      <c r="AZ19" s="449"/>
      <c r="BA19" s="449"/>
      <c r="BB19" s="449"/>
      <c r="BC19" s="449"/>
      <c r="BD19" s="449"/>
      <c r="BE19" s="449"/>
      <c r="BF19" s="449"/>
      <c r="BG19" s="449"/>
      <c r="BH19" s="449"/>
    </row>
    <row r="20" spans="1:60" s="376" customFormat="1" ht="12.75" customHeight="1" x14ac:dyDescent="0.2">
      <c r="A20" s="449"/>
      <c r="B20" s="599"/>
      <c r="C20" s="377"/>
      <c r="K20" s="377"/>
      <c r="L20" s="381"/>
      <c r="M20" s="377"/>
      <c r="N20" s="426" t="s">
        <v>57</v>
      </c>
      <c r="O20" s="401" t="s">
        <v>232</v>
      </c>
      <c r="P20" s="382"/>
      <c r="Q20" s="383"/>
      <c r="R20" s="383"/>
      <c r="S20" s="650"/>
      <c r="T20" s="650"/>
      <c r="U20" s="377"/>
      <c r="V20" s="600"/>
      <c r="W20" s="449"/>
      <c r="X20" s="449"/>
      <c r="Y20" s="449"/>
      <c r="Z20" s="449"/>
      <c r="AA20" s="449"/>
      <c r="AB20" s="449"/>
      <c r="AC20" s="449"/>
      <c r="AD20" s="449"/>
      <c r="AE20" s="449"/>
      <c r="AF20" s="449"/>
      <c r="AG20" s="449"/>
      <c r="AH20" s="449"/>
      <c r="AI20" s="449"/>
      <c r="AJ20" s="449"/>
      <c r="AK20" s="449"/>
      <c r="AL20" s="449"/>
      <c r="AM20" s="449"/>
      <c r="AN20" s="449"/>
      <c r="AO20" s="449"/>
      <c r="AP20" s="449"/>
      <c r="AQ20" s="449"/>
      <c r="AR20" s="449"/>
      <c r="AS20" s="449"/>
      <c r="AT20" s="449"/>
      <c r="AU20" s="449"/>
      <c r="AV20" s="449"/>
      <c r="AW20" s="449"/>
      <c r="AX20" s="449"/>
      <c r="AY20" s="449"/>
      <c r="AZ20" s="449"/>
      <c r="BA20" s="449"/>
      <c r="BB20" s="449"/>
      <c r="BC20" s="449"/>
      <c r="BD20" s="449"/>
      <c r="BE20" s="449"/>
      <c r="BF20" s="449"/>
      <c r="BG20" s="449"/>
      <c r="BH20" s="449"/>
    </row>
    <row r="21" spans="1:60" s="376" customFormat="1" ht="12.75" customHeight="1" x14ac:dyDescent="0.2">
      <c r="A21" s="449"/>
      <c r="B21" s="599"/>
      <c r="C21" s="394"/>
      <c r="D21" s="617"/>
      <c r="E21" s="394"/>
      <c r="F21" s="618"/>
      <c r="G21" s="619"/>
      <c r="H21" s="619"/>
      <c r="I21" s="618"/>
      <c r="J21" s="618"/>
      <c r="K21" s="394"/>
      <c r="L21" s="381"/>
      <c r="M21" s="377"/>
      <c r="N21" s="426"/>
      <c r="O21" s="378" t="s">
        <v>104</v>
      </c>
      <c r="P21" s="460">
        <f>IF(T17&gt;tabellen!B109,tabellen!B109,T19)</f>
        <v>20142</v>
      </c>
      <c r="Q21" s="461">
        <f>+tabellen!C109</f>
        <v>0.36549999999999999</v>
      </c>
      <c r="R21" s="631"/>
      <c r="S21" s="639">
        <f>+P21*Q21/12</f>
        <v>613.49175000000002</v>
      </c>
      <c r="T21" s="639">
        <f>+P21*Q21</f>
        <v>7361.9009999999998</v>
      </c>
      <c r="U21" s="377"/>
      <c r="V21" s="600"/>
      <c r="W21" s="449"/>
      <c r="X21" s="449"/>
      <c r="Y21" s="449"/>
      <c r="Z21" s="449"/>
      <c r="AA21" s="449"/>
      <c r="AB21" s="449"/>
      <c r="AC21" s="449"/>
      <c r="AD21" s="449"/>
      <c r="AE21" s="449"/>
      <c r="AF21" s="449"/>
      <c r="AG21" s="449"/>
      <c r="AH21" s="449"/>
      <c r="AI21" s="449"/>
      <c r="AJ21" s="449"/>
      <c r="AK21" s="449"/>
      <c r="AL21" s="449"/>
      <c r="AM21" s="449"/>
      <c r="AN21" s="449"/>
      <c r="AO21" s="449"/>
      <c r="AP21" s="449"/>
      <c r="AQ21" s="449"/>
      <c r="AR21" s="449"/>
      <c r="AS21" s="449"/>
      <c r="AT21" s="449"/>
      <c r="AU21" s="449"/>
      <c r="AV21" s="449"/>
      <c r="AW21" s="449"/>
      <c r="AX21" s="449"/>
      <c r="AY21" s="449"/>
      <c r="AZ21" s="449"/>
      <c r="BA21" s="449"/>
      <c r="BB21" s="449"/>
      <c r="BC21" s="449"/>
      <c r="BD21" s="449"/>
      <c r="BE21" s="449"/>
      <c r="BF21" s="449"/>
      <c r="BG21" s="449"/>
      <c r="BH21" s="449"/>
    </row>
    <row r="22" spans="1:60" s="376" customFormat="1" ht="12.75" customHeight="1" x14ac:dyDescent="0.25">
      <c r="A22" s="449"/>
      <c r="B22" s="599"/>
      <c r="C22" s="398"/>
      <c r="D22" s="399"/>
      <c r="E22" s="398"/>
      <c r="F22" s="626"/>
      <c r="G22" s="356"/>
      <c r="H22" s="356"/>
      <c r="I22" s="627"/>
      <c r="J22" s="626"/>
      <c r="K22" s="398"/>
      <c r="L22" s="381"/>
      <c r="M22" s="377"/>
      <c r="N22" s="633"/>
      <c r="O22" s="378" t="s">
        <v>105</v>
      </c>
      <c r="P22" s="460">
        <f>IF((IF(T19&gt;tabellen!B110,tabellen!B110,T19)-tabellen!B109)&lt;0,0,IF(T19&gt;tabellen!B110,tabellen!B110,T19)-tabellen!B109)</f>
        <v>13852</v>
      </c>
      <c r="Q22" s="461">
        <f>+tabellen!C110</f>
        <v>0.40849999999999997</v>
      </c>
      <c r="R22" s="631"/>
      <c r="S22" s="639">
        <f>+P22*Q22/12</f>
        <v>471.5451666666666</v>
      </c>
      <c r="T22" s="639">
        <f>+P22*Q22</f>
        <v>5658.5419999999995</v>
      </c>
      <c r="U22" s="377"/>
      <c r="V22" s="600"/>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c r="AY22" s="449"/>
      <c r="AZ22" s="449"/>
      <c r="BA22" s="449"/>
      <c r="BB22" s="449"/>
      <c r="BC22" s="449"/>
      <c r="BD22" s="449"/>
      <c r="BE22" s="449"/>
      <c r="BF22" s="449"/>
      <c r="BG22" s="449"/>
      <c r="BH22" s="449"/>
    </row>
    <row r="23" spans="1:60" s="376" customFormat="1" ht="12.75" customHeight="1" x14ac:dyDescent="0.2">
      <c r="A23" s="449"/>
      <c r="B23" s="599"/>
      <c r="C23" s="401"/>
      <c r="D23" s="504"/>
      <c r="E23" s="502"/>
      <c r="F23" s="624"/>
      <c r="G23" s="625"/>
      <c r="H23" s="625"/>
      <c r="I23" s="618"/>
      <c r="J23" s="624"/>
      <c r="K23" s="401"/>
      <c r="L23" s="381"/>
      <c r="M23" s="377"/>
      <c r="N23" s="519"/>
      <c r="O23" s="378" t="s">
        <v>106</v>
      </c>
      <c r="P23" s="460">
        <f>IF((IF(T19&gt;tabellen!B111,tabellen!B111,T19)-tabellen!B110)&lt;0,0,IF(T19&gt;tabellen!B111,tabellen!B111,T19)-tabellen!B110)</f>
        <v>17531.516080000009</v>
      </c>
      <c r="Q23" s="461">
        <f>+tabellen!C111</f>
        <v>0.40849999999999997</v>
      </c>
      <c r="R23" s="632"/>
      <c r="S23" s="639">
        <f>+P23*Q23/12</f>
        <v>596.80202655666687</v>
      </c>
      <c r="T23" s="639">
        <f>+P23*Q23</f>
        <v>7161.6243186800029</v>
      </c>
      <c r="U23" s="377"/>
      <c r="V23" s="600"/>
      <c r="W23" s="449"/>
      <c r="X23" s="449"/>
      <c r="Y23" s="449"/>
      <c r="Z23" s="449"/>
      <c r="AA23" s="449"/>
      <c r="AB23" s="449"/>
      <c r="AC23" s="449"/>
      <c r="AD23" s="449"/>
      <c r="AE23" s="449"/>
      <c r="AF23" s="449"/>
      <c r="AG23" s="449"/>
      <c r="AH23" s="449"/>
      <c r="AI23" s="449"/>
      <c r="AJ23" s="449"/>
      <c r="AK23" s="449"/>
      <c r="AL23" s="449"/>
      <c r="AM23" s="449"/>
      <c r="AN23" s="449"/>
      <c r="AO23" s="449"/>
      <c r="AP23" s="449"/>
      <c r="AQ23" s="449"/>
      <c r="AR23" s="449"/>
      <c r="AS23" s="449"/>
      <c r="AT23" s="449"/>
      <c r="AU23" s="449"/>
      <c r="AV23" s="449"/>
      <c r="AW23" s="449"/>
      <c r="AX23" s="449"/>
      <c r="AY23" s="449"/>
      <c r="AZ23" s="449"/>
      <c r="BA23" s="449"/>
      <c r="BB23" s="449"/>
      <c r="BC23" s="449"/>
      <c r="BD23" s="449"/>
      <c r="BE23" s="449"/>
      <c r="BF23" s="449"/>
      <c r="BG23" s="449"/>
      <c r="BH23" s="449"/>
    </row>
    <row r="24" spans="1:60" s="376" customFormat="1" ht="12.75" customHeight="1" x14ac:dyDescent="0.2">
      <c r="A24" s="449"/>
      <c r="B24" s="599"/>
      <c r="C24" s="620"/>
      <c r="D24" s="389" t="s">
        <v>385</v>
      </c>
      <c r="E24" s="519"/>
      <c r="F24" s="622"/>
      <c r="G24" s="528"/>
      <c r="H24" s="528"/>
      <c r="I24" s="623"/>
      <c r="J24" s="519"/>
      <c r="K24" s="621"/>
      <c r="L24" s="381"/>
      <c r="M24" s="620"/>
      <c r="N24" s="519"/>
      <c r="O24" s="378" t="s">
        <v>107</v>
      </c>
      <c r="P24" s="460">
        <f>IF((IF(T17&gt;tabellen!B112,tabellen!B112,T17)-tabellen!B111)&lt;0,0,IF(T17&gt;tabellen!B112,tabellen!B112,T17)-tabellen!B111)</f>
        <v>0</v>
      </c>
      <c r="Q24" s="461">
        <f>+tabellen!C112</f>
        <v>0.51949999999999996</v>
      </c>
      <c r="R24" s="632"/>
      <c r="S24" s="639">
        <f>+P24*Q24/12</f>
        <v>0</v>
      </c>
      <c r="T24" s="639">
        <f>+P24*Q24</f>
        <v>0</v>
      </c>
      <c r="U24" s="621"/>
      <c r="V24" s="600"/>
      <c r="W24" s="449"/>
      <c r="X24" s="449"/>
      <c r="Y24" s="449"/>
      <c r="Z24" s="449"/>
      <c r="AA24" s="449"/>
      <c r="AB24" s="449"/>
      <c r="AC24" s="449"/>
      <c r="AD24" s="449"/>
      <c r="AE24" s="449"/>
      <c r="AF24" s="449"/>
      <c r="AG24" s="449"/>
      <c r="AH24" s="449"/>
      <c r="AI24" s="449"/>
      <c r="AJ24" s="449"/>
      <c r="AK24" s="449"/>
      <c r="AL24" s="449"/>
      <c r="AM24" s="449"/>
      <c r="AN24" s="449"/>
      <c r="AO24" s="449"/>
      <c r="AP24" s="449"/>
      <c r="AQ24" s="449"/>
      <c r="AR24" s="449"/>
      <c r="AS24" s="449"/>
      <c r="AT24" s="449"/>
      <c r="AU24" s="449"/>
      <c r="AV24" s="449"/>
      <c r="AW24" s="449"/>
      <c r="AX24" s="449"/>
      <c r="AY24" s="449"/>
      <c r="AZ24" s="449"/>
      <c r="BA24" s="449"/>
      <c r="BB24" s="449"/>
      <c r="BC24" s="449"/>
      <c r="BD24" s="449"/>
      <c r="BE24" s="449"/>
      <c r="BF24" s="449"/>
      <c r="BG24" s="449"/>
      <c r="BH24" s="449"/>
    </row>
    <row r="25" spans="1:60" s="376" customFormat="1" ht="12.75" customHeight="1" x14ac:dyDescent="0.2">
      <c r="A25" s="449"/>
      <c r="B25" s="599"/>
      <c r="C25" s="377"/>
      <c r="D25" s="401"/>
      <c r="E25" s="401"/>
      <c r="F25" s="421"/>
      <c r="G25" s="422"/>
      <c r="H25" s="422"/>
      <c r="I25" s="423"/>
      <c r="J25" s="401"/>
      <c r="K25" s="377"/>
      <c r="L25" s="381"/>
      <c r="M25" s="620"/>
      <c r="O25" s="408"/>
      <c r="P25" s="462">
        <f>SUM(P21:P24)</f>
        <v>51525.516080000009</v>
      </c>
      <c r="Q25" s="463"/>
      <c r="R25" s="419"/>
      <c r="S25" s="651">
        <f>SUM(S21:S24)</f>
        <v>1681.8389432233334</v>
      </c>
      <c r="T25" s="651">
        <f>SUM(T21:T24)</f>
        <v>20182.067318680001</v>
      </c>
      <c r="U25" s="621"/>
      <c r="V25" s="600"/>
      <c r="W25" s="449"/>
      <c r="X25" s="449"/>
      <c r="Y25" s="449"/>
      <c r="Z25" s="449"/>
      <c r="AA25" s="449"/>
      <c r="AB25" s="449"/>
      <c r="AC25" s="449"/>
      <c r="AD25" s="449"/>
      <c r="AE25" s="449"/>
      <c r="AF25" s="449"/>
      <c r="AG25" s="449"/>
      <c r="AH25" s="449"/>
      <c r="AI25" s="449"/>
      <c r="AJ25" s="449"/>
      <c r="AK25" s="449"/>
      <c r="AL25" s="449"/>
      <c r="AM25" s="449"/>
      <c r="AN25" s="449"/>
      <c r="AO25" s="449"/>
      <c r="AP25" s="449"/>
      <c r="AQ25" s="449"/>
      <c r="AR25" s="449"/>
      <c r="AS25" s="449"/>
      <c r="AT25" s="449"/>
      <c r="AU25" s="449"/>
      <c r="AV25" s="449"/>
      <c r="AW25" s="449"/>
      <c r="AX25" s="449"/>
      <c r="AY25" s="449"/>
      <c r="AZ25" s="449"/>
      <c r="BA25" s="449"/>
      <c r="BB25" s="449"/>
      <c r="BC25" s="449"/>
      <c r="BD25" s="449"/>
      <c r="BE25" s="449"/>
      <c r="BF25" s="449"/>
      <c r="BG25" s="449"/>
      <c r="BH25" s="449"/>
    </row>
    <row r="26" spans="1:60" s="376" customFormat="1" ht="12.75" customHeight="1" x14ac:dyDescent="0.2">
      <c r="A26" s="449"/>
      <c r="B26" s="599"/>
      <c r="C26" s="377"/>
      <c r="D26" s="464" t="s">
        <v>36</v>
      </c>
      <c r="E26" s="377"/>
      <c r="F26" s="382"/>
      <c r="G26" s="383"/>
      <c r="H26" s="383"/>
      <c r="I26" s="457" t="s">
        <v>62</v>
      </c>
      <c r="J26" s="459" t="s">
        <v>63</v>
      </c>
      <c r="K26" s="377"/>
      <c r="L26" s="381"/>
      <c r="M26" s="377"/>
      <c r="N26" s="416"/>
      <c r="O26" s="416"/>
      <c r="P26" s="416"/>
      <c r="Q26" s="416"/>
      <c r="R26" s="416"/>
      <c r="S26" s="416"/>
      <c r="T26" s="416"/>
      <c r="U26" s="377"/>
      <c r="V26" s="600"/>
      <c r="W26" s="449"/>
      <c r="X26" s="449"/>
      <c r="Y26" s="449"/>
      <c r="Z26" s="449"/>
      <c r="AA26" s="449"/>
      <c r="AB26" s="449"/>
      <c r="AC26" s="449"/>
      <c r="AD26" s="449"/>
      <c r="AE26" s="449"/>
      <c r="AF26" s="449"/>
      <c r="AG26" s="449"/>
      <c r="AH26" s="449"/>
      <c r="AI26" s="449"/>
      <c r="AJ26" s="449"/>
      <c r="AK26" s="449"/>
      <c r="AL26" s="449"/>
      <c r="AM26" s="449"/>
      <c r="AN26" s="449"/>
      <c r="AO26" s="449"/>
      <c r="AP26" s="449"/>
      <c r="AQ26" s="449"/>
      <c r="AR26" s="449"/>
      <c r="AS26" s="449"/>
      <c r="AT26" s="449"/>
      <c r="AU26" s="449"/>
      <c r="AV26" s="449"/>
      <c r="AW26" s="449"/>
      <c r="AX26" s="449"/>
      <c r="AY26" s="449"/>
      <c r="AZ26" s="449"/>
      <c r="BA26" s="449"/>
      <c r="BB26" s="449"/>
      <c r="BC26" s="449"/>
      <c r="BD26" s="449"/>
      <c r="BE26" s="449"/>
      <c r="BF26" s="449"/>
      <c r="BG26" s="449"/>
      <c r="BH26" s="449"/>
    </row>
    <row r="27" spans="1:60" s="376" customFormat="1" ht="12.75" customHeight="1" x14ac:dyDescent="0.2">
      <c r="A27" s="449"/>
      <c r="B27" s="599"/>
      <c r="C27" s="377"/>
      <c r="D27" s="382" t="s">
        <v>26</v>
      </c>
      <c r="I27" s="636">
        <f>I19</f>
        <v>3482</v>
      </c>
      <c r="J27" s="636">
        <f>+I27*12</f>
        <v>41784</v>
      </c>
      <c r="K27" s="377"/>
      <c r="L27" s="381"/>
      <c r="M27" s="389"/>
      <c r="U27" s="389"/>
      <c r="V27" s="600"/>
      <c r="W27" s="449"/>
      <c r="X27" s="449"/>
      <c r="Y27" s="449"/>
      <c r="Z27" s="449"/>
      <c r="AA27" s="449"/>
      <c r="AB27" s="449"/>
      <c r="AC27" s="449"/>
      <c r="AD27" s="449"/>
      <c r="AE27" s="449"/>
      <c r="AF27" s="449"/>
      <c r="AG27" s="449"/>
      <c r="AH27" s="449"/>
      <c r="AI27" s="449"/>
      <c r="AJ27" s="449"/>
      <c r="AK27" s="449"/>
      <c r="AL27" s="449"/>
      <c r="AM27" s="449"/>
      <c r="AN27" s="449"/>
      <c r="AO27" s="449"/>
      <c r="AP27" s="449"/>
      <c r="AQ27" s="449"/>
      <c r="AR27" s="449"/>
      <c r="AS27" s="449"/>
      <c r="AT27" s="449"/>
      <c r="AU27" s="449"/>
      <c r="AV27" s="449"/>
      <c r="AW27" s="449"/>
      <c r="AX27" s="449"/>
      <c r="AY27" s="449"/>
      <c r="AZ27" s="449"/>
      <c r="BA27" s="449"/>
      <c r="BB27" s="449"/>
      <c r="BC27" s="449"/>
      <c r="BD27" s="449"/>
      <c r="BE27" s="449"/>
      <c r="BF27" s="449"/>
      <c r="BG27" s="449"/>
      <c r="BH27" s="449"/>
    </row>
    <row r="28" spans="1:60" s="376" customFormat="1" ht="12.75" customHeight="1" x14ac:dyDescent="0.25">
      <c r="A28" s="449"/>
      <c r="B28" s="599"/>
      <c r="C28" s="377"/>
      <c r="D28" s="382" t="s">
        <v>47</v>
      </c>
      <c r="E28" s="377"/>
      <c r="F28" s="424" t="s">
        <v>0</v>
      </c>
      <c r="G28" s="374" t="s">
        <v>67</v>
      </c>
      <c r="H28" s="383"/>
      <c r="I28" s="636">
        <f>ROUND(IF(G28="j",VLOOKUP(F28,uitlooptoeslag,2,FALSE))*IF(I18&gt;1,1,I18),2)</f>
        <v>31.1</v>
      </c>
      <c r="J28" s="636">
        <f t="shared" ref="J28:J34" si="0">+I28*12</f>
        <v>373.20000000000005</v>
      </c>
      <c r="K28" s="377"/>
      <c r="L28" s="381"/>
      <c r="N28" s="615" t="s">
        <v>389</v>
      </c>
      <c r="P28" s="629"/>
      <c r="Q28" s="630"/>
      <c r="R28" s="630"/>
      <c r="S28" s="652">
        <f>S19-S25</f>
        <v>2611.9540634433333</v>
      </c>
      <c r="T28" s="652">
        <f>T19-T25</f>
        <v>31343.448761320007</v>
      </c>
      <c r="U28" s="394"/>
      <c r="V28" s="600"/>
      <c r="W28" s="449"/>
      <c r="X28" s="449"/>
      <c r="Y28" s="449"/>
      <c r="Z28" s="449"/>
      <c r="AA28" s="449"/>
      <c r="AB28" s="449"/>
      <c r="AC28" s="449"/>
      <c r="AD28" s="449"/>
      <c r="AE28" s="449"/>
      <c r="AF28" s="449"/>
      <c r="AG28" s="449"/>
      <c r="AH28" s="449"/>
      <c r="AI28" s="449"/>
      <c r="AJ28" s="449"/>
      <c r="AK28" s="449"/>
      <c r="AL28" s="449"/>
      <c r="AM28" s="449"/>
      <c r="AN28" s="449"/>
      <c r="AO28" s="449"/>
      <c r="AP28" s="449"/>
      <c r="AQ28" s="449"/>
      <c r="AR28" s="449"/>
      <c r="AS28" s="449"/>
      <c r="AT28" s="449"/>
      <c r="AU28" s="449"/>
      <c r="AV28" s="449"/>
      <c r="AW28" s="449"/>
      <c r="AX28" s="449"/>
      <c r="AY28" s="449"/>
      <c r="AZ28" s="449"/>
      <c r="BA28" s="449"/>
      <c r="BB28" s="449"/>
      <c r="BC28" s="449"/>
      <c r="BD28" s="449"/>
      <c r="BE28" s="449"/>
      <c r="BF28" s="449"/>
      <c r="BG28" s="449"/>
      <c r="BH28" s="449"/>
    </row>
    <row r="29" spans="1:60" s="376" customFormat="1" ht="12.75" customHeight="1" x14ac:dyDescent="0.2">
      <c r="A29" s="449"/>
      <c r="B29" s="599"/>
      <c r="C29" s="377"/>
      <c r="D29" s="382" t="s">
        <v>198</v>
      </c>
      <c r="E29" s="425"/>
      <c r="F29" s="522">
        <v>43101</v>
      </c>
      <c r="G29" s="374" t="s">
        <v>67</v>
      </c>
      <c r="H29" s="383"/>
      <c r="I29" s="636">
        <f>ROUND(IF(OR(I15="LA",I15="LB"),IF(G29="j",tabellen!C79*I18,0),0),2)</f>
        <v>64.88</v>
      </c>
      <c r="J29" s="636">
        <f t="shared" si="0"/>
        <v>778.56</v>
      </c>
      <c r="K29" s="377"/>
      <c r="L29" s="381"/>
      <c r="M29" s="653"/>
      <c r="U29" s="394"/>
      <c r="V29" s="600"/>
      <c r="W29" s="449"/>
      <c r="X29" s="449"/>
      <c r="Y29" s="449"/>
      <c r="Z29" s="449"/>
      <c r="AA29" s="449"/>
      <c r="AB29" s="449"/>
      <c r="AC29" s="449"/>
      <c r="AD29" s="449"/>
      <c r="AE29" s="449"/>
      <c r="AF29" s="449"/>
      <c r="AG29" s="449"/>
      <c r="AH29" s="449"/>
      <c r="AI29" s="449"/>
      <c r="AJ29" s="449"/>
      <c r="AK29" s="449"/>
      <c r="AL29" s="449"/>
      <c r="AM29" s="449"/>
      <c r="AN29" s="449"/>
      <c r="AO29" s="449"/>
      <c r="AP29" s="449"/>
      <c r="AQ29" s="449"/>
      <c r="AR29" s="449"/>
      <c r="AS29" s="449"/>
      <c r="AT29" s="449"/>
      <c r="AU29" s="449"/>
      <c r="AV29" s="449"/>
      <c r="AW29" s="449"/>
      <c r="AX29" s="449"/>
      <c r="AY29" s="449"/>
      <c r="AZ29" s="449"/>
      <c r="BA29" s="449"/>
      <c r="BB29" s="449"/>
      <c r="BC29" s="449"/>
      <c r="BD29" s="449"/>
      <c r="BE29" s="449"/>
      <c r="BF29" s="449"/>
      <c r="BG29" s="449"/>
      <c r="BH29" s="449"/>
    </row>
    <row r="30" spans="1:60" s="376" customFormat="1" ht="12.75" customHeight="1" x14ac:dyDescent="0.2">
      <c r="A30" s="449"/>
      <c r="B30" s="599"/>
      <c r="C30" s="377"/>
      <c r="D30" s="382" t="s">
        <v>37</v>
      </c>
      <c r="E30" s="377"/>
      <c r="F30" s="382"/>
      <c r="G30" s="455">
        <v>0.08</v>
      </c>
      <c r="H30" s="427"/>
      <c r="I30" s="636">
        <f>ROUND(IF((I$19+I$28+I29)*G30&lt;I18*tabellen!D92,I18*tabellen!D92,(I$19+I$28+I29)*G30),2)</f>
        <v>286.24</v>
      </c>
      <c r="J30" s="636">
        <f t="shared" si="0"/>
        <v>3434.88</v>
      </c>
      <c r="K30" s="377"/>
      <c r="L30" s="381"/>
      <c r="M30" s="654"/>
      <c r="N30" s="398"/>
      <c r="O30" s="398"/>
      <c r="P30" s="398"/>
      <c r="Q30" s="398"/>
      <c r="R30" s="398"/>
      <c r="S30" s="656"/>
      <c r="T30" s="656"/>
      <c r="U30" s="398"/>
      <c r="V30" s="600"/>
      <c r="W30" s="449"/>
      <c r="X30" s="449"/>
      <c r="Y30" s="449"/>
      <c r="Z30" s="449"/>
      <c r="AA30" s="449"/>
      <c r="AB30" s="449"/>
      <c r="AC30" s="449"/>
      <c r="AD30" s="449"/>
      <c r="AE30" s="449"/>
      <c r="AF30" s="449"/>
      <c r="AG30" s="449"/>
      <c r="AH30" s="449"/>
      <c r="AI30" s="449"/>
      <c r="AJ30" s="449"/>
      <c r="AK30" s="449"/>
      <c r="AL30" s="449"/>
      <c r="AM30" s="449"/>
      <c r="AN30" s="449"/>
      <c r="AO30" s="449"/>
      <c r="AP30" s="449"/>
      <c r="AQ30" s="449"/>
      <c r="AR30" s="449"/>
      <c r="AS30" s="449"/>
      <c r="AT30" s="449"/>
      <c r="AU30" s="449"/>
      <c r="AV30" s="449"/>
      <c r="AW30" s="449"/>
      <c r="AX30" s="449"/>
      <c r="AY30" s="449"/>
      <c r="AZ30" s="449"/>
      <c r="BA30" s="449"/>
      <c r="BB30" s="449"/>
      <c r="BC30" s="449"/>
      <c r="BD30" s="449"/>
      <c r="BE30" s="449"/>
      <c r="BF30" s="449"/>
      <c r="BG30" s="449"/>
      <c r="BH30" s="449"/>
    </row>
    <row r="31" spans="1:60" s="376" customFormat="1" ht="12.75" customHeight="1" x14ac:dyDescent="0.2">
      <c r="A31" s="449"/>
      <c r="B31" s="599"/>
      <c r="C31" s="377"/>
      <c r="D31" s="382" t="s">
        <v>77</v>
      </c>
      <c r="E31" s="377"/>
      <c r="F31" s="382"/>
      <c r="G31" s="456">
        <f>+tabellen!D93</f>
        <v>6.3E-2</v>
      </c>
      <c r="H31" s="429"/>
      <c r="I31" s="636">
        <f>ROUND(+(I$19+I$28+I29)*G31,2)</f>
        <v>225.41</v>
      </c>
      <c r="J31" s="636">
        <f t="shared" si="0"/>
        <v>2704.92</v>
      </c>
      <c r="K31" s="377"/>
      <c r="L31" s="381"/>
      <c r="M31" s="398"/>
      <c r="N31" s="398"/>
      <c r="O31" s="398"/>
      <c r="P31" s="398"/>
      <c r="Q31" s="398"/>
      <c r="R31" s="398"/>
      <c r="S31" s="398"/>
      <c r="T31" s="398"/>
      <c r="U31" s="398"/>
      <c r="V31" s="600"/>
      <c r="W31" s="449"/>
      <c r="X31" s="449"/>
      <c r="Y31" s="449"/>
      <c r="Z31" s="449"/>
      <c r="AA31" s="449"/>
      <c r="AB31" s="449"/>
      <c r="AC31" s="449"/>
      <c r="AD31" s="449"/>
      <c r="AE31" s="449"/>
      <c r="AF31" s="449"/>
      <c r="AG31" s="449"/>
      <c r="AH31" s="449"/>
      <c r="AI31" s="449"/>
      <c r="AJ31" s="449"/>
      <c r="AK31" s="449"/>
      <c r="AL31" s="449"/>
      <c r="AM31" s="449"/>
      <c r="AN31" s="449"/>
      <c r="AO31" s="449"/>
      <c r="AP31" s="449"/>
      <c r="AQ31" s="449"/>
      <c r="AR31" s="449"/>
      <c r="AS31" s="449"/>
      <c r="AT31" s="449"/>
      <c r="AU31" s="449"/>
      <c r="AV31" s="449"/>
      <c r="AW31" s="449"/>
      <c r="AX31" s="449"/>
      <c r="AY31" s="449"/>
      <c r="AZ31" s="449"/>
      <c r="BA31" s="449"/>
      <c r="BB31" s="449"/>
      <c r="BC31" s="449"/>
      <c r="BD31" s="449"/>
      <c r="BE31" s="449"/>
      <c r="BF31" s="449"/>
      <c r="BG31" s="449"/>
      <c r="BH31" s="449"/>
    </row>
    <row r="32" spans="1:60" s="376" customFormat="1" ht="12.75" customHeight="1" x14ac:dyDescent="0.2">
      <c r="A32" s="449"/>
      <c r="B32" s="599"/>
      <c r="C32" s="377"/>
      <c r="D32" s="382" t="s">
        <v>111</v>
      </c>
      <c r="E32" s="377"/>
      <c r="F32" s="382"/>
      <c r="G32" s="428"/>
      <c r="H32" s="429"/>
      <c r="I32" s="636">
        <f>+tabellen!C87*I18</f>
        <v>34.47</v>
      </c>
      <c r="J32" s="636">
        <f>+I32*12</f>
        <v>413.64</v>
      </c>
      <c r="K32" s="377"/>
      <c r="L32" s="381"/>
      <c r="M32" s="397"/>
      <c r="N32" s="655"/>
      <c r="O32" s="398"/>
      <c r="P32" s="398"/>
      <c r="Q32" s="398"/>
      <c r="R32" s="398"/>
      <c r="S32" s="398"/>
      <c r="T32" s="398"/>
      <c r="U32" s="397"/>
      <c r="V32" s="600"/>
      <c r="W32" s="449"/>
      <c r="X32" s="449"/>
      <c r="Y32" s="449"/>
      <c r="Z32" s="449"/>
      <c r="AA32" s="449"/>
      <c r="AB32" s="449"/>
      <c r="AC32" s="449"/>
      <c r="AD32" s="449"/>
      <c r="AE32" s="449"/>
      <c r="AF32" s="449"/>
      <c r="AG32" s="449"/>
      <c r="AH32" s="449"/>
      <c r="AI32" s="449"/>
      <c r="AJ32" s="449"/>
      <c r="AK32" s="449"/>
      <c r="AL32" s="449"/>
      <c r="AM32" s="449"/>
      <c r="AN32" s="449"/>
      <c r="AO32" s="449"/>
      <c r="AP32" s="449"/>
      <c r="AQ32" s="449"/>
      <c r="AR32" s="449"/>
      <c r="AS32" s="449"/>
      <c r="AT32" s="449"/>
      <c r="AU32" s="449"/>
      <c r="AV32" s="449"/>
      <c r="AW32" s="449"/>
      <c r="AX32" s="449"/>
      <c r="AY32" s="449"/>
      <c r="AZ32" s="449"/>
      <c r="BA32" s="449"/>
      <c r="BB32" s="449"/>
      <c r="BC32" s="449"/>
      <c r="BD32" s="449"/>
      <c r="BE32" s="449"/>
      <c r="BF32" s="449"/>
      <c r="BG32" s="449"/>
      <c r="BH32" s="449"/>
    </row>
    <row r="33" spans="1:60" s="376" customFormat="1" ht="12.75" customHeight="1" x14ac:dyDescent="0.2">
      <c r="A33" s="449"/>
      <c r="B33" s="599"/>
      <c r="C33" s="377"/>
      <c r="D33" s="382" t="s">
        <v>109</v>
      </c>
      <c r="E33" s="377"/>
      <c r="F33" s="432"/>
      <c r="G33" s="433">
        <f>IF(J15=100,0,I15)</f>
        <v>0</v>
      </c>
      <c r="H33" s="429"/>
      <c r="I33" s="636">
        <f>VLOOKUP(G33,eindejaarsuitkering_OOP,2,TRUE)*I18/12</f>
        <v>0</v>
      </c>
      <c r="J33" s="636">
        <f t="shared" si="0"/>
        <v>0</v>
      </c>
      <c r="K33" s="377"/>
      <c r="L33" s="381"/>
      <c r="M33" s="398"/>
      <c r="N33" s="398"/>
      <c r="O33" s="398"/>
      <c r="P33" s="398"/>
      <c r="Q33" s="398"/>
      <c r="R33" s="398"/>
      <c r="S33" s="398"/>
      <c r="T33" s="398"/>
      <c r="U33" s="398"/>
      <c r="V33" s="600"/>
      <c r="W33" s="449"/>
      <c r="X33" s="449"/>
      <c r="Y33" s="449"/>
      <c r="Z33" s="449"/>
      <c r="AA33" s="449"/>
      <c r="AB33" s="449"/>
      <c r="AC33" s="449"/>
      <c r="AD33" s="449"/>
      <c r="AE33" s="449"/>
      <c r="AF33" s="449"/>
      <c r="AG33" s="449"/>
      <c r="AH33" s="449"/>
      <c r="AI33" s="449"/>
      <c r="AJ33" s="449"/>
      <c r="AK33" s="449"/>
      <c r="AL33" s="449"/>
      <c r="AM33" s="449"/>
      <c r="AN33" s="449"/>
      <c r="AO33" s="449"/>
      <c r="AP33" s="449"/>
      <c r="AQ33" s="449"/>
      <c r="AR33" s="449"/>
      <c r="AS33" s="449"/>
      <c r="AT33" s="449"/>
      <c r="AU33" s="449"/>
      <c r="AV33" s="449"/>
      <c r="AW33" s="449"/>
      <c r="AX33" s="449"/>
      <c r="AY33" s="449"/>
      <c r="AZ33" s="449"/>
      <c r="BA33" s="449"/>
      <c r="BB33" s="449"/>
      <c r="BC33" s="449"/>
      <c r="BD33" s="449"/>
      <c r="BE33" s="449"/>
      <c r="BF33" s="449"/>
      <c r="BG33" s="449"/>
      <c r="BH33" s="449"/>
    </row>
    <row r="34" spans="1:60" s="434" customFormat="1" ht="12.75" customHeight="1" x14ac:dyDescent="0.2">
      <c r="A34" s="450"/>
      <c r="B34" s="601"/>
      <c r="C34" s="389"/>
      <c r="D34" s="382" t="s">
        <v>200</v>
      </c>
      <c r="E34" s="377"/>
      <c r="F34" s="432"/>
      <c r="G34" s="428" t="str">
        <f>IF(OR(I15="DA",I15="DB",I15="DBuit",I15="DC",I15="DCuit",MID(I15,1,5)="meerh"),"j","n")</f>
        <v>n</v>
      </c>
      <c r="H34" s="429"/>
      <c r="I34" s="636">
        <f>ROUND(IF(G34="j",tabellen!D101*IF(I18&gt;1,1,I18),0),2)</f>
        <v>0</v>
      </c>
      <c r="J34" s="636">
        <f t="shared" si="0"/>
        <v>0</v>
      </c>
      <c r="K34" s="389"/>
      <c r="L34" s="435"/>
      <c r="M34" s="398"/>
      <c r="N34" s="397"/>
      <c r="O34" s="397"/>
      <c r="P34" s="397"/>
      <c r="Q34" s="397"/>
      <c r="R34" s="397"/>
      <c r="S34" s="397"/>
      <c r="T34" s="397"/>
      <c r="U34" s="398"/>
      <c r="V34" s="60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row>
    <row r="35" spans="1:60" s="376" customFormat="1" ht="12.75" customHeight="1" x14ac:dyDescent="0.2">
      <c r="A35" s="449"/>
      <c r="B35" s="599"/>
      <c r="C35" s="377"/>
      <c r="D35" s="389" t="s">
        <v>182</v>
      </c>
      <c r="E35" s="389"/>
      <c r="F35" s="390"/>
      <c r="G35" s="391"/>
      <c r="H35" s="391"/>
      <c r="I35" s="638">
        <f>SUM(I27:I34)</f>
        <v>4124.1000000000004</v>
      </c>
      <c r="J35" s="638">
        <f>SUM(J27:J34)</f>
        <v>49489.19999999999</v>
      </c>
      <c r="K35" s="377"/>
      <c r="L35" s="381"/>
      <c r="M35" s="398"/>
      <c r="N35" s="398"/>
      <c r="O35" s="398"/>
      <c r="P35" s="398"/>
      <c r="Q35" s="398"/>
      <c r="R35" s="398"/>
      <c r="S35" s="398"/>
      <c r="T35" s="398"/>
      <c r="U35" s="398"/>
      <c r="V35" s="602"/>
      <c r="W35" s="449"/>
      <c r="X35" s="449"/>
      <c r="Y35" s="449"/>
      <c r="Z35" s="449"/>
      <c r="AA35" s="449"/>
      <c r="AB35" s="449"/>
      <c r="AC35" s="449"/>
      <c r="AD35" s="449"/>
      <c r="AE35" s="449"/>
      <c r="AF35" s="449"/>
      <c r="AG35" s="449"/>
      <c r="AH35" s="449"/>
      <c r="AI35" s="449"/>
      <c r="AJ35" s="449"/>
      <c r="AK35" s="449"/>
      <c r="AL35" s="449"/>
      <c r="AM35" s="449"/>
      <c r="AN35" s="449"/>
      <c r="AO35" s="449"/>
      <c r="AP35" s="449"/>
      <c r="AQ35" s="449"/>
      <c r="AR35" s="449"/>
      <c r="AS35" s="449"/>
      <c r="AT35" s="449"/>
      <c r="AU35" s="449"/>
      <c r="AV35" s="449"/>
      <c r="AW35" s="449"/>
      <c r="AX35" s="449"/>
      <c r="AY35" s="449"/>
      <c r="AZ35" s="449"/>
      <c r="BA35" s="449"/>
      <c r="BB35" s="449"/>
      <c r="BC35" s="449"/>
      <c r="BD35" s="449"/>
      <c r="BE35" s="449"/>
      <c r="BF35" s="449"/>
      <c r="BG35" s="449"/>
      <c r="BH35" s="449"/>
    </row>
    <row r="36" spans="1:60" s="376" customFormat="1" ht="12.75" customHeight="1" x14ac:dyDescent="0.2">
      <c r="A36" s="449"/>
      <c r="B36" s="599"/>
      <c r="C36" s="377"/>
      <c r="D36" s="377" t="s">
        <v>69</v>
      </c>
      <c r="E36" s="389"/>
      <c r="F36" s="424" t="s">
        <v>70</v>
      </c>
      <c r="G36" s="374" t="s">
        <v>67</v>
      </c>
      <c r="H36" s="383"/>
      <c r="I36" s="636">
        <f>J36/12</f>
        <v>63.389999999999993</v>
      </c>
      <c r="J36" s="636">
        <f>ROUND(IF(G36="j",VLOOKUP(F36,bindingstoelage,2,FALSE))*IF(I18&gt;1,1,I18),2)</f>
        <v>760.68</v>
      </c>
      <c r="K36" s="377"/>
      <c r="L36" s="381"/>
      <c r="M36" s="397"/>
      <c r="N36" s="398"/>
      <c r="O36" s="398"/>
      <c r="P36" s="398"/>
      <c r="Q36" s="398"/>
      <c r="R36" s="398"/>
      <c r="S36" s="398"/>
      <c r="T36" s="398"/>
      <c r="U36" s="397"/>
      <c r="V36" s="600"/>
      <c r="W36" s="449"/>
      <c r="X36" s="449"/>
      <c r="Y36" s="449"/>
      <c r="Z36" s="449"/>
      <c r="AA36" s="449"/>
      <c r="AB36" s="449"/>
      <c r="AC36" s="449"/>
      <c r="AD36" s="449"/>
      <c r="AE36" s="449"/>
      <c r="AF36" s="449"/>
      <c r="AG36" s="449"/>
      <c r="AH36" s="449"/>
      <c r="AI36" s="449"/>
      <c r="AJ36" s="449"/>
      <c r="AK36" s="449"/>
      <c r="AL36" s="449"/>
      <c r="AM36" s="449"/>
      <c r="AN36" s="449"/>
      <c r="AO36" s="449"/>
      <c r="AP36" s="449"/>
      <c r="AQ36" s="449"/>
      <c r="AR36" s="449"/>
      <c r="AS36" s="449"/>
      <c r="AT36" s="449"/>
      <c r="AU36" s="449"/>
      <c r="AV36" s="449"/>
      <c r="AW36" s="449"/>
      <c r="AX36" s="449"/>
      <c r="AY36" s="449"/>
      <c r="AZ36" s="449"/>
      <c r="BA36" s="449"/>
      <c r="BB36" s="449"/>
      <c r="BC36" s="449"/>
      <c r="BD36" s="449"/>
      <c r="BE36" s="449"/>
      <c r="BF36" s="449"/>
      <c r="BG36" s="449"/>
      <c r="BH36" s="449"/>
    </row>
    <row r="37" spans="1:60" s="376" customFormat="1" ht="12.75" customHeight="1" x14ac:dyDescent="0.2">
      <c r="A37" s="449"/>
      <c r="B37" s="599"/>
      <c r="C37" s="377"/>
      <c r="D37" s="377" t="s">
        <v>193</v>
      </c>
      <c r="E37" s="389"/>
      <c r="F37" s="382"/>
      <c r="G37" s="383"/>
      <c r="H37" s="383"/>
      <c r="I37" s="636">
        <f>J37/12</f>
        <v>16.666666666666668</v>
      </c>
      <c r="J37" s="636">
        <f>ROUND(I18*tabellen!D99,2)</f>
        <v>200</v>
      </c>
      <c r="K37" s="377"/>
      <c r="L37" s="381"/>
      <c r="M37" s="398"/>
      <c r="N37" s="398"/>
      <c r="O37" s="398"/>
      <c r="P37" s="398"/>
      <c r="Q37" s="398"/>
      <c r="R37" s="398"/>
      <c r="S37" s="398"/>
      <c r="T37" s="398"/>
      <c r="U37" s="398"/>
      <c r="V37" s="600"/>
      <c r="W37" s="449"/>
      <c r="X37" s="449"/>
      <c r="Y37" s="449"/>
      <c r="Z37" s="449"/>
      <c r="AA37" s="449"/>
      <c r="AB37" s="449"/>
      <c r="AC37" s="449"/>
      <c r="AD37" s="449"/>
      <c r="AE37" s="449"/>
      <c r="AF37" s="449"/>
      <c r="AG37" s="449"/>
      <c r="AH37" s="449"/>
      <c r="AI37" s="449"/>
      <c r="AJ37" s="449"/>
      <c r="AK37" s="449"/>
      <c r="AL37" s="449"/>
      <c r="AM37" s="449"/>
      <c r="AN37" s="449"/>
      <c r="AO37" s="449"/>
      <c r="AP37" s="449"/>
      <c r="AQ37" s="449"/>
      <c r="AR37" s="449"/>
      <c r="AS37" s="449"/>
      <c r="AT37" s="449"/>
      <c r="AU37" s="449"/>
      <c r="AV37" s="449"/>
      <c r="AW37" s="449"/>
      <c r="AX37" s="449"/>
      <c r="AY37" s="449"/>
      <c r="AZ37" s="449"/>
      <c r="BA37" s="449"/>
      <c r="BB37" s="449"/>
      <c r="BC37" s="449"/>
      <c r="BD37" s="449"/>
      <c r="BE37" s="449"/>
      <c r="BF37" s="449"/>
      <c r="BG37" s="449"/>
      <c r="BH37" s="449"/>
    </row>
    <row r="38" spans="1:60" s="376" customFormat="1" ht="12.75" customHeight="1" x14ac:dyDescent="0.2">
      <c r="A38" s="449"/>
      <c r="B38" s="599"/>
      <c r="C38" s="377"/>
      <c r="D38" s="389" t="s">
        <v>61</v>
      </c>
      <c r="E38" s="377"/>
      <c r="F38" s="382"/>
      <c r="G38" s="383"/>
      <c r="H38" s="383"/>
      <c r="I38" s="638">
        <f>ROUND(SUM(I35:I37),0)</f>
        <v>4204</v>
      </c>
      <c r="J38" s="638">
        <f>ROUND(SUM(J35:J37),0)</f>
        <v>50450</v>
      </c>
      <c r="K38" s="377"/>
      <c r="L38" s="381"/>
      <c r="M38" s="398"/>
      <c r="N38" s="398"/>
      <c r="O38" s="398"/>
      <c r="P38" s="398"/>
      <c r="Q38" s="398"/>
      <c r="R38" s="398"/>
      <c r="S38" s="398"/>
      <c r="T38" s="398"/>
      <c r="U38" s="398"/>
      <c r="V38" s="600"/>
      <c r="W38" s="449"/>
      <c r="X38" s="449"/>
      <c r="Y38" s="449"/>
      <c r="Z38" s="449"/>
      <c r="AA38" s="449"/>
      <c r="AB38" s="449"/>
      <c r="AC38" s="449"/>
      <c r="AD38" s="449"/>
      <c r="AE38" s="449"/>
      <c r="AF38" s="449"/>
      <c r="AG38" s="449"/>
      <c r="AH38" s="449"/>
      <c r="AI38" s="449"/>
      <c r="AJ38" s="449"/>
      <c r="AK38" s="449"/>
      <c r="AL38" s="449"/>
      <c r="AM38" s="449"/>
      <c r="AN38" s="449"/>
      <c r="AO38" s="449"/>
      <c r="AP38" s="449"/>
      <c r="AQ38" s="449"/>
      <c r="AR38" s="449"/>
      <c r="AS38" s="449"/>
      <c r="AT38" s="449"/>
      <c r="AU38" s="449"/>
      <c r="AV38" s="449"/>
      <c r="AW38" s="449"/>
      <c r="AX38" s="449"/>
      <c r="AY38" s="449"/>
      <c r="AZ38" s="449"/>
      <c r="BA38" s="449"/>
      <c r="BB38" s="449"/>
      <c r="BC38" s="449"/>
      <c r="BD38" s="449"/>
      <c r="BE38" s="449"/>
      <c r="BF38" s="449"/>
      <c r="BG38" s="449"/>
      <c r="BH38" s="449"/>
    </row>
    <row r="39" spans="1:60" s="376" customFormat="1" ht="12.75" customHeight="1" x14ac:dyDescent="0.2">
      <c r="A39" s="449"/>
      <c r="B39" s="599"/>
      <c r="C39" s="377"/>
      <c r="D39" s="410" t="s">
        <v>178</v>
      </c>
      <c r="E39" s="378"/>
      <c r="F39" s="628"/>
      <c r="G39" s="410"/>
      <c r="H39" s="411"/>
      <c r="I39" s="639">
        <f>IF(I12&lt;1950,0,+(I19+I28+I29)*tabellen!C89)</f>
        <v>28.623840000000001</v>
      </c>
      <c r="J39" s="639">
        <f>IF(I12&lt;1950,0,+(I19+I28+I29)*tabellen!C89)*12</f>
        <v>343.48608000000002</v>
      </c>
      <c r="K39" s="377"/>
      <c r="L39" s="381"/>
      <c r="M39" s="613"/>
      <c r="N39" s="613"/>
      <c r="O39" s="613"/>
      <c r="P39" s="613"/>
      <c r="Q39" s="613"/>
      <c r="R39" s="613"/>
      <c r="S39" s="613"/>
      <c r="T39" s="613"/>
      <c r="U39" s="613"/>
      <c r="V39" s="600"/>
      <c r="W39" s="449"/>
      <c r="X39" s="449"/>
      <c r="Y39" s="449"/>
      <c r="Z39" s="449"/>
      <c r="AA39" s="449"/>
      <c r="AB39" s="449"/>
      <c r="AC39" s="449"/>
      <c r="AD39" s="449"/>
      <c r="AE39" s="449"/>
      <c r="AF39" s="449"/>
      <c r="AG39" s="449"/>
      <c r="AH39" s="449"/>
      <c r="AI39" s="449"/>
      <c r="AJ39" s="449"/>
      <c r="AK39" s="449"/>
      <c r="AL39" s="449"/>
      <c r="AM39" s="449"/>
      <c r="AN39" s="449"/>
      <c r="AO39" s="449"/>
      <c r="AP39" s="449"/>
      <c r="AQ39" s="449"/>
      <c r="AR39" s="449"/>
      <c r="AS39" s="449"/>
      <c r="AT39" s="449"/>
      <c r="AU39" s="449"/>
      <c r="AV39" s="449"/>
      <c r="AW39" s="449"/>
      <c r="AX39" s="449"/>
      <c r="AY39" s="449"/>
      <c r="AZ39" s="449"/>
      <c r="BA39" s="449"/>
      <c r="BB39" s="449"/>
      <c r="BC39" s="449"/>
      <c r="BD39" s="449"/>
      <c r="BE39" s="449"/>
      <c r="BF39" s="449"/>
      <c r="BG39" s="449"/>
      <c r="BH39" s="449"/>
    </row>
    <row r="40" spans="1:60" s="376" customFormat="1" ht="12.75" customHeight="1" x14ac:dyDescent="0.2">
      <c r="A40" s="449"/>
      <c r="B40" s="599"/>
      <c r="C40" s="377"/>
      <c r="D40" s="430"/>
      <c r="E40" s="415"/>
      <c r="F40" s="416"/>
      <c r="G40" s="416"/>
      <c r="H40" s="431"/>
      <c r="I40" s="640"/>
      <c r="J40" s="640"/>
      <c r="K40" s="377"/>
      <c r="L40" s="381"/>
      <c r="M40" s="613"/>
      <c r="N40" s="613"/>
      <c r="O40" s="613"/>
      <c r="P40" s="613"/>
      <c r="Q40" s="613"/>
      <c r="R40" s="613"/>
      <c r="S40" s="613"/>
      <c r="T40" s="613"/>
      <c r="U40" s="613"/>
      <c r="V40" s="600"/>
      <c r="W40" s="449"/>
      <c r="X40" s="449"/>
      <c r="Y40" s="449"/>
      <c r="Z40" s="449"/>
      <c r="AA40" s="449"/>
      <c r="AB40" s="449"/>
      <c r="AC40" s="449"/>
      <c r="AD40" s="449"/>
      <c r="AE40" s="449"/>
      <c r="AF40" s="449"/>
      <c r="AG40" s="449"/>
      <c r="AH40" s="449"/>
      <c r="AI40" s="449"/>
      <c r="AJ40" s="449"/>
      <c r="AK40" s="449"/>
      <c r="AL40" s="449"/>
      <c r="AM40" s="449"/>
      <c r="AN40" s="449"/>
      <c r="AO40" s="449"/>
      <c r="AP40" s="449"/>
      <c r="AQ40" s="449"/>
      <c r="AR40" s="449"/>
      <c r="AS40" s="449"/>
      <c r="AT40" s="449"/>
      <c r="AU40" s="449"/>
      <c r="AV40" s="449"/>
      <c r="AW40" s="449"/>
      <c r="AX40" s="449"/>
      <c r="AY40" s="449"/>
      <c r="AZ40" s="449"/>
      <c r="BA40" s="449"/>
      <c r="BB40" s="449"/>
      <c r="BC40" s="449"/>
      <c r="BD40" s="449"/>
      <c r="BE40" s="449"/>
      <c r="BF40" s="449"/>
      <c r="BG40" s="449"/>
      <c r="BH40" s="449"/>
    </row>
    <row r="41" spans="1:60" s="376" customFormat="1" ht="12.75" customHeight="1" x14ac:dyDescent="0.2">
      <c r="A41" s="449"/>
      <c r="B41" s="599"/>
      <c r="C41" s="378"/>
      <c r="D41" s="503"/>
      <c r="E41" s="504"/>
      <c r="F41" s="505"/>
      <c r="G41" s="505"/>
      <c r="H41" s="506"/>
      <c r="I41" s="641"/>
      <c r="J41" s="642"/>
      <c r="K41" s="378"/>
      <c r="L41" s="381"/>
      <c r="M41" s="613"/>
      <c r="N41" s="613"/>
      <c r="O41" s="613"/>
      <c r="P41" s="613"/>
      <c r="Q41" s="613"/>
      <c r="R41" s="613"/>
      <c r="S41" s="613"/>
      <c r="T41" s="613"/>
      <c r="U41" s="613"/>
      <c r="V41" s="600"/>
      <c r="W41" s="449"/>
      <c r="X41" s="449"/>
      <c r="Y41" s="449"/>
      <c r="Z41" s="449"/>
      <c r="AA41" s="449"/>
      <c r="AB41" s="449"/>
      <c r="AC41" s="449"/>
      <c r="AD41" s="449"/>
      <c r="AE41" s="449"/>
      <c r="AF41" s="449"/>
      <c r="AG41" s="449"/>
      <c r="AH41" s="449"/>
      <c r="AI41" s="449"/>
      <c r="AJ41" s="449"/>
      <c r="AK41" s="449"/>
      <c r="AL41" s="449"/>
      <c r="AM41" s="449"/>
      <c r="AN41" s="449"/>
      <c r="AO41" s="449"/>
      <c r="AP41" s="449"/>
      <c r="AQ41" s="449"/>
      <c r="AR41" s="449"/>
      <c r="AS41" s="449"/>
      <c r="AT41" s="449"/>
      <c r="AU41" s="449"/>
      <c r="AV41" s="449"/>
      <c r="AW41" s="449"/>
      <c r="AX41" s="449"/>
      <c r="AY41" s="449"/>
      <c r="AZ41" s="449"/>
      <c r="BA41" s="449"/>
      <c r="BB41" s="449"/>
      <c r="BC41" s="449"/>
      <c r="BD41" s="449"/>
      <c r="BE41" s="449"/>
      <c r="BF41" s="449"/>
      <c r="BG41" s="449"/>
      <c r="BH41" s="449"/>
    </row>
    <row r="42" spans="1:60" s="436" customFormat="1" ht="12.75" customHeight="1" x14ac:dyDescent="0.2">
      <c r="A42" s="451"/>
      <c r="B42" s="599"/>
      <c r="C42" s="378"/>
      <c r="D42" s="376"/>
      <c r="E42" s="376"/>
      <c r="F42" s="376"/>
      <c r="G42" s="376"/>
      <c r="H42" s="376"/>
      <c r="I42" s="643" t="s">
        <v>62</v>
      </c>
      <c r="J42" s="643" t="s">
        <v>63</v>
      </c>
      <c r="K42" s="378"/>
      <c r="L42" s="381"/>
      <c r="M42" s="614"/>
      <c r="N42" s="614"/>
      <c r="O42" s="614"/>
      <c r="P42" s="614"/>
      <c r="Q42" s="614"/>
      <c r="R42" s="614"/>
      <c r="S42" s="614"/>
      <c r="T42" s="614"/>
      <c r="U42" s="614"/>
      <c r="V42" s="600"/>
      <c r="W42" s="451"/>
      <c r="X42" s="451"/>
      <c r="Y42" s="451"/>
      <c r="Z42" s="451"/>
      <c r="AA42" s="451"/>
      <c r="AB42" s="451"/>
      <c r="AC42" s="451"/>
      <c r="AD42" s="451"/>
      <c r="AE42" s="451"/>
      <c r="AF42" s="451"/>
      <c r="AG42" s="451"/>
      <c r="AH42" s="451"/>
      <c r="AI42" s="451"/>
      <c r="AJ42" s="451"/>
      <c r="AK42" s="451"/>
      <c r="AL42" s="451"/>
      <c r="AM42" s="451"/>
      <c r="AN42" s="451"/>
      <c r="AO42" s="451"/>
      <c r="AP42" s="451"/>
      <c r="AQ42" s="451"/>
      <c r="AR42" s="451"/>
      <c r="AS42" s="451"/>
      <c r="AT42" s="451"/>
      <c r="AU42" s="451"/>
      <c r="AV42" s="451"/>
      <c r="AW42" s="451"/>
      <c r="AX42" s="451"/>
      <c r="AY42" s="451"/>
      <c r="AZ42" s="451"/>
      <c r="BA42" s="451"/>
      <c r="BB42" s="451"/>
      <c r="BC42" s="451"/>
      <c r="BD42" s="451"/>
      <c r="BE42" s="451"/>
      <c r="BF42" s="451"/>
      <c r="BG42" s="451"/>
      <c r="BH42" s="451"/>
    </row>
    <row r="43" spans="1:60" s="436" customFormat="1" ht="12.75" customHeight="1" x14ac:dyDescent="0.2">
      <c r="A43" s="451"/>
      <c r="B43" s="599"/>
      <c r="C43" s="378"/>
      <c r="D43" s="382" t="s">
        <v>49</v>
      </c>
      <c r="E43" s="377" t="s">
        <v>61</v>
      </c>
      <c r="F43" s="382"/>
      <c r="G43" s="383"/>
      <c r="H43" s="383"/>
      <c r="I43" s="636">
        <f>+J38/12</f>
        <v>4204.166666666667</v>
      </c>
      <c r="J43" s="644">
        <f t="shared" ref="J43:J52" si="1">I43*12</f>
        <v>50450</v>
      </c>
      <c r="K43" s="378"/>
      <c r="L43" s="437"/>
      <c r="M43" s="398"/>
      <c r="N43" s="398"/>
      <c r="O43" s="398"/>
      <c r="P43" s="398"/>
      <c r="Q43" s="398"/>
      <c r="R43" s="398"/>
      <c r="S43" s="398"/>
      <c r="T43" s="398"/>
      <c r="U43" s="398"/>
      <c r="V43" s="603"/>
      <c r="W43" s="451"/>
      <c r="X43" s="451"/>
      <c r="Y43" s="451"/>
      <c r="Z43" s="451"/>
      <c r="AA43" s="451"/>
      <c r="AB43" s="451"/>
      <c r="AC43" s="451"/>
      <c r="AD43" s="451"/>
      <c r="AE43" s="451"/>
      <c r="AF43" s="451"/>
      <c r="AG43" s="451"/>
      <c r="AH43" s="451"/>
      <c r="AI43" s="451"/>
      <c r="AJ43" s="451"/>
      <c r="AK43" s="451"/>
      <c r="AL43" s="451"/>
      <c r="AM43" s="451"/>
      <c r="AN43" s="451"/>
      <c r="AO43" s="451"/>
      <c r="AP43" s="451"/>
      <c r="AQ43" s="451"/>
      <c r="AR43" s="451"/>
      <c r="AS43" s="451"/>
      <c r="AT43" s="451"/>
      <c r="AU43" s="451"/>
      <c r="AV43" s="451"/>
      <c r="AW43" s="451"/>
      <c r="AX43" s="451"/>
      <c r="AY43" s="451"/>
      <c r="AZ43" s="451"/>
      <c r="BA43" s="451"/>
      <c r="BB43" s="451"/>
      <c r="BC43" s="451"/>
      <c r="BD43" s="451"/>
      <c r="BE43" s="451"/>
      <c r="BF43" s="451"/>
      <c r="BG43" s="451"/>
      <c r="BH43" s="451"/>
    </row>
    <row r="44" spans="1:60" s="376" customFormat="1" ht="12.75" customHeight="1" x14ac:dyDescent="0.2">
      <c r="A44" s="449"/>
      <c r="B44" s="604"/>
      <c r="C44" s="378"/>
      <c r="D44" s="382" t="s">
        <v>50</v>
      </c>
      <c r="E44" s="377" t="s">
        <v>39</v>
      </c>
      <c r="F44" s="382"/>
      <c r="G44" s="383"/>
      <c r="H44" s="383"/>
      <c r="I44" s="636">
        <f>IF($J$38/$I$18&lt;tabellen!E53,0,($J$38-tabellen!E53*$I$18)/12)*tabellen!$C53</f>
        <v>495.59416666666664</v>
      </c>
      <c r="J44" s="644">
        <f t="shared" si="1"/>
        <v>5947.1299999999992</v>
      </c>
      <c r="K44" s="378"/>
      <c r="L44" s="437"/>
      <c r="M44" s="398"/>
      <c r="N44" s="398"/>
      <c r="O44" s="398"/>
      <c r="P44" s="398"/>
      <c r="Q44" s="398"/>
      <c r="R44" s="398"/>
      <c r="S44" s="398"/>
      <c r="T44" s="398"/>
      <c r="U44" s="398"/>
      <c r="V44" s="603"/>
      <c r="W44" s="449"/>
      <c r="X44" s="449"/>
      <c r="Y44" s="449"/>
      <c r="Z44" s="449"/>
      <c r="AA44" s="449"/>
      <c r="AB44" s="449"/>
      <c r="AC44" s="449"/>
      <c r="AD44" s="449"/>
      <c r="AE44" s="449"/>
      <c r="AF44" s="449"/>
      <c r="AG44" s="449"/>
      <c r="AH44" s="449"/>
      <c r="AI44" s="449"/>
      <c r="AJ44" s="449"/>
      <c r="AK44" s="449"/>
      <c r="AL44" s="449"/>
      <c r="AM44" s="449"/>
      <c r="AN44" s="449"/>
      <c r="AO44" s="449"/>
      <c r="AP44" s="449"/>
      <c r="AQ44" s="449"/>
      <c r="AR44" s="449"/>
      <c r="AS44" s="449"/>
      <c r="AT44" s="449"/>
      <c r="AU44" s="449"/>
      <c r="AV44" s="449"/>
      <c r="AW44" s="449"/>
      <c r="AX44" s="449"/>
      <c r="AY44" s="449"/>
      <c r="AZ44" s="449"/>
      <c r="BA44" s="449"/>
      <c r="BB44" s="449"/>
      <c r="BC44" s="449"/>
      <c r="BD44" s="449"/>
      <c r="BE44" s="449"/>
      <c r="BF44" s="449"/>
      <c r="BG44" s="449"/>
      <c r="BH44" s="449"/>
    </row>
    <row r="45" spans="1:60" s="376" customFormat="1" ht="12.75" customHeight="1" x14ac:dyDescent="0.2">
      <c r="A45" s="449"/>
      <c r="B45" s="604"/>
      <c r="C45" s="378"/>
      <c r="D45" s="382" t="s">
        <v>51</v>
      </c>
      <c r="E45" s="377" t="s">
        <v>190</v>
      </c>
      <c r="F45" s="382"/>
      <c r="G45" s="383"/>
      <c r="H45" s="383"/>
      <c r="I45" s="636">
        <f>IF($J$38/$I$18&lt;tabellen!E54,0,(+$J$38-tabellen!E54*$I$18)/12)*tabellen!$C54</f>
        <v>8.75</v>
      </c>
      <c r="J45" s="644">
        <f t="shared" si="1"/>
        <v>105</v>
      </c>
      <c r="K45" s="378"/>
      <c r="L45" s="381"/>
      <c r="M45" s="438"/>
      <c r="N45" s="438"/>
      <c r="O45" s="438"/>
      <c r="P45" s="438"/>
      <c r="Q45" s="438"/>
      <c r="R45" s="438"/>
      <c r="S45" s="438"/>
      <c r="T45" s="438"/>
      <c r="U45" s="438"/>
      <c r="V45" s="600"/>
      <c r="W45" s="449"/>
      <c r="X45" s="449"/>
      <c r="Y45" s="449"/>
      <c r="Z45" s="449"/>
      <c r="AA45" s="449"/>
      <c r="AB45" s="449"/>
      <c r="AC45" s="449"/>
      <c r="AD45" s="449"/>
      <c r="AE45" s="449"/>
      <c r="AF45" s="449"/>
      <c r="AG45" s="449"/>
      <c r="AH45" s="449"/>
      <c r="AI45" s="449"/>
      <c r="AJ45" s="449"/>
      <c r="AK45" s="449"/>
      <c r="AL45" s="449"/>
      <c r="AM45" s="449"/>
      <c r="AN45" s="449"/>
      <c r="AO45" s="449"/>
      <c r="AP45" s="449"/>
      <c r="AQ45" s="449"/>
      <c r="AR45" s="449"/>
      <c r="AS45" s="449"/>
      <c r="AT45" s="449"/>
      <c r="AU45" s="449"/>
      <c r="AV45" s="449"/>
      <c r="AW45" s="449"/>
      <c r="AX45" s="449"/>
      <c r="AY45" s="449"/>
      <c r="AZ45" s="449"/>
      <c r="BA45" s="449"/>
      <c r="BB45" s="449"/>
      <c r="BC45" s="449"/>
      <c r="BD45" s="449"/>
      <c r="BE45" s="449"/>
      <c r="BF45" s="449"/>
      <c r="BG45" s="449"/>
      <c r="BH45" s="449"/>
    </row>
    <row r="46" spans="1:60" s="376" customFormat="1" ht="12.75" customHeight="1" x14ac:dyDescent="0.2">
      <c r="A46" s="449"/>
      <c r="B46" s="599"/>
      <c r="C46" s="377"/>
      <c r="D46" s="382" t="s">
        <v>52</v>
      </c>
      <c r="E46" s="377" t="s">
        <v>321</v>
      </c>
      <c r="F46" s="410"/>
      <c r="G46" s="382"/>
      <c r="H46" s="383"/>
      <c r="I46" s="636">
        <f>$J$38/12*tabellen!$C55</f>
        <v>109.30833333333334</v>
      </c>
      <c r="J46" s="644">
        <f t="shared" si="1"/>
        <v>1311.7</v>
      </c>
      <c r="K46" s="439"/>
      <c r="L46" s="381"/>
      <c r="M46" s="438"/>
      <c r="N46" s="438"/>
      <c r="O46" s="438"/>
      <c r="P46" s="438"/>
      <c r="Q46" s="438"/>
      <c r="R46" s="438"/>
      <c r="S46" s="438"/>
      <c r="T46" s="438"/>
      <c r="U46" s="438"/>
      <c r="V46" s="600"/>
      <c r="W46" s="449"/>
      <c r="X46" s="449"/>
      <c r="Y46" s="449"/>
      <c r="Z46" s="449"/>
      <c r="AA46" s="449"/>
      <c r="AB46" s="449"/>
      <c r="AC46" s="449"/>
      <c r="AD46" s="449"/>
      <c r="AE46" s="449"/>
      <c r="AF46" s="449"/>
      <c r="AG46" s="449"/>
      <c r="AH46" s="449"/>
      <c r="AI46" s="449"/>
      <c r="AJ46" s="449"/>
      <c r="AK46" s="449"/>
      <c r="AL46" s="449"/>
      <c r="AM46" s="449"/>
      <c r="AN46" s="449"/>
      <c r="AO46" s="449"/>
      <c r="AP46" s="449"/>
      <c r="AQ46" s="449"/>
      <c r="AR46" s="449"/>
      <c r="AS46" s="449"/>
      <c r="AT46" s="449"/>
      <c r="AU46" s="449"/>
      <c r="AV46" s="449"/>
      <c r="AW46" s="449"/>
      <c r="AX46" s="449"/>
      <c r="AY46" s="449"/>
      <c r="AZ46" s="449"/>
      <c r="BA46" s="449"/>
      <c r="BB46" s="449"/>
      <c r="BC46" s="449"/>
      <c r="BD46" s="449"/>
      <c r="BE46" s="449"/>
      <c r="BF46" s="449"/>
      <c r="BG46" s="449"/>
      <c r="BH46" s="449"/>
    </row>
    <row r="47" spans="1:60" s="376" customFormat="1" ht="12.75" customHeight="1" x14ac:dyDescent="0.2">
      <c r="A47" s="449"/>
      <c r="B47" s="599"/>
      <c r="C47" s="377"/>
      <c r="D47" s="382" t="s">
        <v>53</v>
      </c>
      <c r="E47" s="377" t="s">
        <v>183</v>
      </c>
      <c r="F47" s="382"/>
      <c r="G47" s="383"/>
      <c r="H47" s="383"/>
      <c r="I47" s="636">
        <f>IF(S17&gt;tabellen!$G$56/12,tabellen!$G$56/12,S17)*(tabellen!$C56+tabellen!$C57)</f>
        <v>312.89649021933337</v>
      </c>
      <c r="J47" s="644">
        <f t="shared" si="1"/>
        <v>3754.7578826320005</v>
      </c>
      <c r="K47" s="439"/>
      <c r="L47" s="381"/>
      <c r="M47" s="398"/>
      <c r="N47" s="440"/>
      <c r="O47" s="440"/>
      <c r="P47" s="440"/>
      <c r="Q47" s="440"/>
      <c r="R47" s="440"/>
      <c r="S47" s="440"/>
      <c r="T47" s="440"/>
      <c r="U47" s="398"/>
      <c r="V47" s="600"/>
      <c r="W47" s="449"/>
      <c r="X47" s="449"/>
      <c r="Y47" s="449"/>
      <c r="Z47" s="449"/>
      <c r="AA47" s="449"/>
      <c r="AB47" s="449"/>
      <c r="AC47" s="449"/>
      <c r="AD47" s="449"/>
      <c r="AE47" s="449"/>
      <c r="AF47" s="449"/>
      <c r="AG47" s="449"/>
      <c r="AH47" s="449"/>
      <c r="AI47" s="449"/>
      <c r="AJ47" s="449"/>
      <c r="AK47" s="449"/>
      <c r="AL47" s="449"/>
      <c r="AM47" s="449"/>
      <c r="AN47" s="449"/>
      <c r="AO47" s="449"/>
      <c r="AP47" s="449"/>
      <c r="AQ47" s="449"/>
      <c r="AR47" s="449"/>
      <c r="AS47" s="449"/>
      <c r="AT47" s="449"/>
      <c r="AU47" s="449"/>
      <c r="AV47" s="449"/>
      <c r="AW47" s="449"/>
      <c r="AX47" s="449"/>
      <c r="AY47" s="449"/>
      <c r="AZ47" s="449"/>
      <c r="BA47" s="449"/>
      <c r="BB47" s="449"/>
      <c r="BC47" s="449"/>
      <c r="BD47" s="449"/>
      <c r="BE47" s="449"/>
      <c r="BF47" s="449"/>
      <c r="BG47" s="449"/>
      <c r="BH47" s="449"/>
    </row>
    <row r="48" spans="1:60" s="376" customFormat="1" ht="12.75" customHeight="1" x14ac:dyDescent="0.2">
      <c r="A48" s="449"/>
      <c r="B48" s="599"/>
      <c r="C48" s="377"/>
      <c r="D48" s="382" t="s">
        <v>54</v>
      </c>
      <c r="E48" s="377" t="s">
        <v>297</v>
      </c>
      <c r="F48" s="382"/>
      <c r="G48" s="383"/>
      <c r="H48" s="383"/>
      <c r="I48" s="636">
        <f>ROUND(IF(S17&gt;tabellen!H58,tabellen!H58,S17)*tabellen!C58,2)</f>
        <v>277.14999999999998</v>
      </c>
      <c r="J48" s="644">
        <f t="shared" si="1"/>
        <v>3325.7999999999997</v>
      </c>
      <c r="K48" s="439"/>
      <c r="L48" s="381"/>
      <c r="M48" s="398"/>
      <c r="N48" s="440"/>
      <c r="O48" s="440"/>
      <c r="P48" s="440"/>
      <c r="Q48" s="440"/>
      <c r="R48" s="440"/>
      <c r="S48" s="440"/>
      <c r="T48" s="440"/>
      <c r="U48" s="398"/>
      <c r="V48" s="600"/>
      <c r="W48" s="449"/>
      <c r="X48" s="449"/>
      <c r="Y48" s="449"/>
      <c r="Z48" s="449"/>
      <c r="AA48" s="449"/>
      <c r="AB48" s="449"/>
      <c r="AC48" s="449"/>
      <c r="AD48" s="449"/>
      <c r="AE48" s="449"/>
      <c r="AF48" s="449"/>
      <c r="AG48" s="449"/>
      <c r="AH48" s="449"/>
      <c r="AI48" s="449"/>
      <c r="AJ48" s="449"/>
      <c r="AK48" s="449"/>
      <c r="AL48" s="449"/>
      <c r="AM48" s="449"/>
      <c r="AN48" s="449"/>
      <c r="AO48" s="449"/>
      <c r="AP48" s="449"/>
      <c r="AQ48" s="449"/>
      <c r="AR48" s="449"/>
      <c r="AS48" s="449"/>
      <c r="AT48" s="449"/>
      <c r="AU48" s="449"/>
      <c r="AV48" s="449"/>
      <c r="AW48" s="449"/>
      <c r="AX48" s="449"/>
      <c r="AY48" s="449"/>
      <c r="AZ48" s="449"/>
      <c r="BA48" s="449"/>
      <c r="BB48" s="449"/>
      <c r="BC48" s="449"/>
      <c r="BD48" s="449"/>
      <c r="BE48" s="449"/>
      <c r="BF48" s="449"/>
      <c r="BG48" s="449"/>
      <c r="BH48" s="449"/>
    </row>
    <row r="49" spans="1:60" s="376" customFormat="1" ht="12.75" customHeight="1" x14ac:dyDescent="0.2">
      <c r="A49" s="449"/>
      <c r="B49" s="599"/>
      <c r="C49" s="377"/>
      <c r="D49" s="382" t="s">
        <v>55</v>
      </c>
      <c r="E49" s="377" t="s">
        <v>58</v>
      </c>
      <c r="F49" s="382"/>
      <c r="G49" s="383"/>
      <c r="H49" s="383"/>
      <c r="I49" s="636">
        <f>IF(S17&gt;tabellen!$G$59*$I$18/12,tabellen!$G$59*$I$18/12,S17)*tabellen!$C59</f>
        <v>31.329815452000002</v>
      </c>
      <c r="J49" s="644">
        <f t="shared" si="1"/>
        <v>375.95778542400001</v>
      </c>
      <c r="K49" s="377"/>
      <c r="L49" s="381"/>
      <c r="M49" s="435"/>
      <c r="N49" s="441"/>
      <c r="O49" s="435"/>
      <c r="P49" s="442"/>
      <c r="Q49" s="358"/>
      <c r="R49" s="358"/>
      <c r="S49" s="443"/>
      <c r="T49" s="443"/>
      <c r="U49" s="381"/>
      <c r="V49" s="600"/>
      <c r="W49" s="449"/>
      <c r="X49" s="449"/>
      <c r="Y49" s="449"/>
      <c r="Z49" s="449"/>
      <c r="AA49" s="449"/>
      <c r="AB49" s="449"/>
      <c r="AC49" s="449"/>
      <c r="AD49" s="449"/>
      <c r="AE49" s="449"/>
      <c r="AF49" s="449"/>
      <c r="AG49" s="449"/>
      <c r="AH49" s="449"/>
      <c r="AI49" s="449"/>
      <c r="AJ49" s="449"/>
      <c r="AK49" s="449"/>
      <c r="AL49" s="449"/>
      <c r="AM49" s="449"/>
      <c r="AN49" s="449"/>
      <c r="AO49" s="449"/>
      <c r="AP49" s="449"/>
      <c r="AQ49" s="449"/>
      <c r="AR49" s="449"/>
      <c r="AS49" s="449"/>
      <c r="AT49" s="449"/>
      <c r="AU49" s="449"/>
      <c r="AV49" s="449"/>
      <c r="AW49" s="449"/>
      <c r="AX49" s="449"/>
      <c r="AY49" s="449"/>
      <c r="AZ49" s="449"/>
      <c r="BA49" s="449"/>
      <c r="BB49" s="449"/>
      <c r="BC49" s="449"/>
      <c r="BD49" s="449"/>
      <c r="BE49" s="449"/>
      <c r="BF49" s="449"/>
      <c r="BG49" s="449"/>
      <c r="BH49" s="449"/>
    </row>
    <row r="50" spans="1:60" s="376" customFormat="1" ht="12.75" customHeight="1" x14ac:dyDescent="0.2">
      <c r="A50" s="449"/>
      <c r="B50" s="599"/>
      <c r="C50" s="377"/>
      <c r="D50" s="382" t="s">
        <v>56</v>
      </c>
      <c r="E50" s="377" t="s">
        <v>59</v>
      </c>
      <c r="F50" s="382"/>
      <c r="G50" s="444">
        <v>1</v>
      </c>
      <c r="H50" s="383"/>
      <c r="I50" s="636">
        <f>+S17*IF(G50=1,tabellen!$C60,IF(G50=2,tabellen!C61,IF(G50=3,tabellen!C62,tabellen!C63)))</f>
        <v>234.97361589000005</v>
      </c>
      <c r="J50" s="644">
        <f t="shared" si="1"/>
        <v>2819.6833906800007</v>
      </c>
      <c r="K50" s="377"/>
      <c r="L50" s="381"/>
      <c r="M50" s="381"/>
      <c r="N50" s="381"/>
      <c r="O50" s="381"/>
      <c r="P50" s="381"/>
      <c r="Q50" s="381"/>
      <c r="R50" s="381"/>
      <c r="S50" s="381"/>
      <c r="T50" s="381"/>
      <c r="U50" s="381"/>
      <c r="V50" s="600"/>
      <c r="W50" s="449"/>
      <c r="X50" s="449"/>
      <c r="Y50" s="449"/>
      <c r="Z50" s="449"/>
      <c r="AA50" s="449"/>
      <c r="AB50" s="449"/>
      <c r="AC50" s="449"/>
      <c r="AD50" s="449"/>
      <c r="AE50" s="449"/>
      <c r="AF50" s="449"/>
      <c r="AG50" s="449"/>
      <c r="AH50" s="449"/>
      <c r="AI50" s="449"/>
      <c r="AJ50" s="449"/>
      <c r="AK50" s="449"/>
      <c r="AL50" s="449"/>
      <c r="AM50" s="449"/>
      <c r="AN50" s="449"/>
      <c r="AO50" s="449"/>
      <c r="AP50" s="449"/>
      <c r="AQ50" s="449"/>
      <c r="AR50" s="449"/>
      <c r="AS50" s="449"/>
      <c r="AT50" s="449"/>
      <c r="AU50" s="449"/>
      <c r="AV50" s="449"/>
      <c r="AW50" s="449"/>
      <c r="AX50" s="449"/>
      <c r="AY50" s="449"/>
      <c r="AZ50" s="449"/>
      <c r="BA50" s="449"/>
      <c r="BB50" s="449"/>
      <c r="BC50" s="449"/>
      <c r="BD50" s="449"/>
      <c r="BE50" s="449"/>
      <c r="BF50" s="449"/>
      <c r="BG50" s="449"/>
      <c r="BH50" s="449"/>
    </row>
    <row r="51" spans="1:60" s="376" customFormat="1" ht="12.75" customHeight="1" x14ac:dyDescent="0.2">
      <c r="A51" s="449"/>
      <c r="B51" s="599"/>
      <c r="C51" s="377"/>
      <c r="D51" s="382" t="s">
        <v>57</v>
      </c>
      <c r="E51" s="377" t="s">
        <v>60</v>
      </c>
      <c r="F51" s="382"/>
      <c r="G51" s="383"/>
      <c r="H51" s="383"/>
      <c r="I51" s="636">
        <f>+S17*tabellen!$C64</f>
        <v>210.87375785</v>
      </c>
      <c r="J51" s="644">
        <f t="shared" si="1"/>
        <v>2530.4850942000003</v>
      </c>
      <c r="K51" s="377"/>
      <c r="L51" s="381"/>
      <c r="M51" s="381"/>
      <c r="N51" s="381"/>
      <c r="O51" s="381"/>
      <c r="P51" s="381"/>
      <c r="Q51" s="381"/>
      <c r="R51" s="381"/>
      <c r="S51" s="381"/>
      <c r="T51" s="381"/>
      <c r="U51" s="381"/>
      <c r="V51" s="600"/>
      <c r="W51" s="449"/>
      <c r="X51" s="449"/>
      <c r="Y51" s="449"/>
      <c r="Z51" s="449"/>
      <c r="AA51" s="449"/>
      <c r="AB51" s="449"/>
      <c r="AC51" s="449"/>
      <c r="AD51" s="449"/>
      <c r="AE51" s="449"/>
      <c r="AF51" s="449"/>
      <c r="AG51" s="449"/>
      <c r="AH51" s="449"/>
      <c r="AI51" s="449"/>
      <c r="AJ51" s="449"/>
      <c r="AK51" s="449"/>
      <c r="AL51" s="449"/>
      <c r="AM51" s="449"/>
      <c r="AN51" s="449"/>
      <c r="AO51" s="449"/>
      <c r="AP51" s="449"/>
      <c r="AQ51" s="449"/>
      <c r="AR51" s="449"/>
      <c r="AS51" s="449"/>
      <c r="AT51" s="449"/>
      <c r="AU51" s="449"/>
      <c r="AV51" s="449"/>
      <c r="AW51" s="449"/>
      <c r="AX51" s="449"/>
      <c r="AY51" s="449"/>
      <c r="AZ51" s="449"/>
      <c r="BA51" s="449"/>
      <c r="BB51" s="449"/>
      <c r="BC51" s="449"/>
      <c r="BD51" s="449"/>
      <c r="BE51" s="449"/>
      <c r="BF51" s="449"/>
      <c r="BG51" s="449"/>
      <c r="BH51" s="449"/>
    </row>
    <row r="52" spans="1:60" s="376" customFormat="1" ht="12.75" customHeight="1" x14ac:dyDescent="0.2">
      <c r="A52" s="449"/>
      <c r="B52" s="599"/>
      <c r="C52" s="377"/>
      <c r="D52" s="382" t="s">
        <v>67</v>
      </c>
      <c r="E52" s="377" t="s">
        <v>179</v>
      </c>
      <c r="F52" s="382"/>
      <c r="G52" s="383"/>
      <c r="H52" s="383"/>
      <c r="I52" s="636">
        <f>+J39/12</f>
        <v>28.623840000000001</v>
      </c>
      <c r="J52" s="644">
        <f t="shared" si="1"/>
        <v>343.48608000000002</v>
      </c>
      <c r="K52" s="377"/>
      <c r="L52" s="381"/>
      <c r="M52" s="381"/>
      <c r="N52" s="381"/>
      <c r="O52" s="381"/>
      <c r="P52" s="381"/>
      <c r="Q52" s="381"/>
      <c r="R52" s="381"/>
      <c r="S52" s="381"/>
      <c r="T52" s="381"/>
      <c r="U52" s="381"/>
      <c r="V52" s="600"/>
      <c r="W52" s="449"/>
      <c r="X52" s="449"/>
      <c r="Y52" s="449"/>
      <c r="Z52" s="449"/>
      <c r="AA52" s="449"/>
      <c r="AB52" s="449"/>
      <c r="AC52" s="449"/>
      <c r="AD52" s="449"/>
      <c r="AE52" s="449"/>
      <c r="AF52" s="449"/>
      <c r="AG52" s="449"/>
      <c r="AH52" s="449"/>
      <c r="AI52" s="449"/>
      <c r="AJ52" s="449"/>
      <c r="AK52" s="449"/>
      <c r="AL52" s="449"/>
      <c r="AM52" s="449"/>
      <c r="AN52" s="449"/>
      <c r="AO52" s="449"/>
      <c r="AP52" s="449"/>
      <c r="AQ52" s="449"/>
      <c r="AR52" s="449"/>
      <c r="AS52" s="449"/>
      <c r="AT52" s="449"/>
      <c r="AU52" s="449"/>
      <c r="AV52" s="449"/>
      <c r="AW52" s="449"/>
      <c r="AX52" s="449"/>
      <c r="AY52" s="449"/>
      <c r="AZ52" s="449"/>
      <c r="BA52" s="449"/>
      <c r="BB52" s="449"/>
      <c r="BC52" s="449"/>
      <c r="BD52" s="449"/>
      <c r="BE52" s="449"/>
      <c r="BF52" s="449"/>
      <c r="BG52" s="449"/>
      <c r="BH52" s="449"/>
    </row>
    <row r="53" spans="1:60" s="376" customFormat="1" ht="12.75" customHeight="1" x14ac:dyDescent="0.2">
      <c r="A53" s="449"/>
      <c r="B53" s="599"/>
      <c r="C53" s="377"/>
      <c r="D53" s="382" t="s">
        <v>91</v>
      </c>
      <c r="E53" s="377" t="s">
        <v>296</v>
      </c>
      <c r="F53" s="382"/>
      <c r="G53" s="383"/>
      <c r="H53" s="383"/>
      <c r="I53" s="636">
        <f>J53/12</f>
        <v>0</v>
      </c>
      <c r="J53" s="645">
        <v>0</v>
      </c>
      <c r="K53" s="377"/>
      <c r="L53" s="381"/>
      <c r="M53" s="381"/>
      <c r="N53" s="381"/>
      <c r="O53" s="381"/>
      <c r="P53" s="381"/>
      <c r="Q53" s="381"/>
      <c r="R53" s="381"/>
      <c r="S53" s="381"/>
      <c r="T53" s="381"/>
      <c r="U53" s="381"/>
      <c r="V53" s="600"/>
      <c r="W53" s="449"/>
      <c r="X53" s="449"/>
      <c r="Y53" s="449"/>
      <c r="Z53" s="449"/>
      <c r="AA53" s="449"/>
      <c r="AB53" s="449"/>
      <c r="AC53" s="449"/>
      <c r="AD53" s="449"/>
      <c r="AE53" s="449"/>
      <c r="AF53" s="449"/>
      <c r="AG53" s="449"/>
      <c r="AH53" s="449"/>
      <c r="AI53" s="449"/>
      <c r="AJ53" s="449"/>
      <c r="AK53" s="449"/>
      <c r="AL53" s="449"/>
      <c r="AM53" s="449"/>
      <c r="AN53" s="449"/>
      <c r="AO53" s="449"/>
      <c r="AP53" s="449"/>
      <c r="AQ53" s="449"/>
      <c r="AR53" s="449"/>
      <c r="AS53" s="449"/>
      <c r="AT53" s="449"/>
      <c r="AU53" s="449"/>
      <c r="AV53" s="449"/>
      <c r="AW53" s="449"/>
      <c r="AX53" s="449"/>
      <c r="AY53" s="449"/>
      <c r="AZ53" s="449"/>
      <c r="BA53" s="449"/>
      <c r="BB53" s="449"/>
      <c r="BC53" s="449"/>
      <c r="BD53" s="449"/>
      <c r="BE53" s="449"/>
      <c r="BF53" s="449"/>
      <c r="BG53" s="449"/>
      <c r="BH53" s="449"/>
    </row>
    <row r="54" spans="1:60" s="376" customFormat="1" ht="12.75" customHeight="1" x14ac:dyDescent="0.2">
      <c r="A54" s="449"/>
      <c r="B54" s="599"/>
      <c r="C54" s="377"/>
      <c r="D54" s="389" t="s">
        <v>334</v>
      </c>
      <c r="E54" s="389"/>
      <c r="F54" s="390"/>
      <c r="G54" s="391"/>
      <c r="H54" s="391"/>
      <c r="I54" s="638">
        <f>SUM(I43:I53)</f>
        <v>5913.6666860780015</v>
      </c>
      <c r="J54" s="646">
        <f>I54*12</f>
        <v>70964.000232936014</v>
      </c>
      <c r="K54" s="377"/>
      <c r="L54" s="381"/>
      <c r="M54" s="381"/>
      <c r="N54" s="381"/>
      <c r="O54" s="381"/>
      <c r="P54" s="381"/>
      <c r="Q54" s="381"/>
      <c r="R54" s="381"/>
      <c r="S54" s="381"/>
      <c r="T54" s="381"/>
      <c r="U54" s="381"/>
      <c r="V54" s="600"/>
      <c r="W54" s="449"/>
      <c r="X54" s="449"/>
      <c r="Y54" s="449"/>
      <c r="Z54" s="449"/>
      <c r="AA54" s="449"/>
      <c r="AB54" s="449"/>
      <c r="AC54" s="449"/>
      <c r="AD54" s="449"/>
      <c r="AE54" s="449"/>
      <c r="AF54" s="449"/>
      <c r="AG54" s="449"/>
      <c r="AH54" s="449"/>
      <c r="AI54" s="449"/>
      <c r="AJ54" s="449"/>
      <c r="AK54" s="449"/>
      <c r="AL54" s="449"/>
      <c r="AM54" s="449"/>
      <c r="AN54" s="449"/>
      <c r="AO54" s="449"/>
      <c r="AP54" s="449"/>
      <c r="AQ54" s="449"/>
      <c r="AR54" s="449"/>
      <c r="AS54" s="449"/>
      <c r="AT54" s="449"/>
      <c r="AU54" s="449"/>
      <c r="AV54" s="449"/>
      <c r="AW54" s="449"/>
      <c r="AX54" s="449"/>
      <c r="AY54" s="449"/>
      <c r="AZ54" s="449"/>
      <c r="BA54" s="449"/>
      <c r="BB54" s="449"/>
      <c r="BC54" s="449"/>
      <c r="BD54" s="449"/>
      <c r="BE54" s="449"/>
      <c r="BF54" s="449"/>
      <c r="BG54" s="449"/>
      <c r="BH54" s="449"/>
    </row>
    <row r="55" spans="1:60" s="376" customFormat="1" ht="12.75" customHeight="1" x14ac:dyDescent="0.2">
      <c r="A55" s="449"/>
      <c r="B55" s="599"/>
      <c r="C55" s="377"/>
      <c r="D55" s="430"/>
      <c r="E55" s="415"/>
      <c r="F55" s="416"/>
      <c r="G55" s="416"/>
      <c r="H55" s="431"/>
      <c r="I55" s="414"/>
      <c r="J55" s="414"/>
      <c r="K55" s="377"/>
      <c r="L55" s="381"/>
      <c r="M55" s="381"/>
      <c r="N55" s="381"/>
      <c r="O55" s="381"/>
      <c r="P55" s="381"/>
      <c r="Q55" s="381"/>
      <c r="R55" s="381"/>
      <c r="S55" s="381"/>
      <c r="T55" s="381"/>
      <c r="U55" s="381"/>
      <c r="V55" s="600"/>
      <c r="W55" s="449"/>
      <c r="X55" s="449"/>
      <c r="Y55" s="449"/>
      <c r="Z55" s="449"/>
      <c r="AA55" s="449"/>
      <c r="AB55" s="449"/>
      <c r="AC55" s="449"/>
      <c r="AD55" s="449"/>
      <c r="AE55" s="449"/>
      <c r="AF55" s="449"/>
      <c r="AG55" s="449"/>
      <c r="AH55" s="449"/>
      <c r="AI55" s="449"/>
      <c r="AJ55" s="449"/>
      <c r="AK55" s="449"/>
      <c r="AL55" s="449"/>
      <c r="AM55" s="449"/>
      <c r="AN55" s="449"/>
      <c r="AO55" s="449"/>
      <c r="AP55" s="449"/>
      <c r="AQ55" s="449"/>
      <c r="AR55" s="449"/>
      <c r="AS55" s="449"/>
      <c r="AT55" s="449"/>
      <c r="AU55" s="449"/>
      <c r="AV55" s="449"/>
      <c r="AW55" s="449"/>
      <c r="AX55" s="449"/>
      <c r="AY55" s="449"/>
      <c r="AZ55" s="449"/>
      <c r="BA55" s="449"/>
      <c r="BB55" s="449"/>
      <c r="BC55" s="449"/>
      <c r="BD55" s="449"/>
      <c r="BE55" s="449"/>
      <c r="BF55" s="449"/>
      <c r="BG55" s="449"/>
      <c r="BH55" s="449"/>
    </row>
    <row r="56" spans="1:60" s="376" customFormat="1" ht="12.75" customHeight="1" x14ac:dyDescent="0.2">
      <c r="A56" s="449"/>
      <c r="B56" s="599"/>
      <c r="C56" s="394"/>
      <c r="D56" s="503"/>
      <c r="E56" s="504"/>
      <c r="F56" s="505"/>
      <c r="G56" s="505"/>
      <c r="H56" s="506"/>
      <c r="I56" s="502"/>
      <c r="J56" s="519"/>
      <c r="K56" s="394"/>
      <c r="L56" s="381"/>
      <c r="M56" s="381"/>
      <c r="N56" s="381"/>
      <c r="O56" s="381"/>
      <c r="P56" s="381"/>
      <c r="Q56" s="381"/>
      <c r="R56" s="381"/>
      <c r="S56" s="381"/>
      <c r="T56" s="381"/>
      <c r="U56" s="381"/>
      <c r="V56" s="600"/>
      <c r="W56" s="449"/>
      <c r="X56" s="449"/>
      <c r="Y56" s="449"/>
      <c r="Z56" s="449"/>
      <c r="AA56" s="449"/>
      <c r="AB56" s="449"/>
      <c r="AC56" s="449"/>
      <c r="AD56" s="449"/>
      <c r="AE56" s="449"/>
      <c r="AF56" s="449"/>
      <c r="AG56" s="449"/>
      <c r="AH56" s="449"/>
      <c r="AI56" s="449"/>
      <c r="AJ56" s="449"/>
      <c r="AK56" s="449"/>
      <c r="AL56" s="449"/>
      <c r="AM56" s="449"/>
      <c r="AN56" s="449"/>
      <c r="AO56" s="449"/>
      <c r="AP56" s="449"/>
      <c r="AQ56" s="449"/>
      <c r="AR56" s="449"/>
      <c r="AS56" s="449"/>
      <c r="AT56" s="449"/>
      <c r="AU56" s="449"/>
      <c r="AV56" s="449"/>
      <c r="AW56" s="449"/>
      <c r="AX56" s="449"/>
      <c r="AY56" s="449"/>
      <c r="AZ56" s="449"/>
      <c r="BA56" s="449"/>
      <c r="BB56" s="449"/>
      <c r="BC56" s="449"/>
      <c r="BD56" s="449"/>
      <c r="BE56" s="449"/>
      <c r="BF56" s="449"/>
      <c r="BG56" s="449"/>
      <c r="BH56" s="449"/>
    </row>
    <row r="57" spans="1:60" s="376" customFormat="1" ht="12.75" customHeight="1" x14ac:dyDescent="0.25">
      <c r="A57" s="449"/>
      <c r="B57" s="599"/>
      <c r="C57" s="519"/>
      <c r="D57" s="615" t="s">
        <v>388</v>
      </c>
      <c r="E57" s="615"/>
      <c r="F57" s="629"/>
      <c r="G57" s="630"/>
      <c r="H57" s="630"/>
      <c r="I57" s="702">
        <f>+I54/I19-1</f>
        <v>0.69835344229695617</v>
      </c>
      <c r="J57" s="703"/>
      <c r="K57" s="394"/>
      <c r="L57" s="381"/>
      <c r="M57" s="381"/>
      <c r="N57" s="381"/>
      <c r="O57" s="381"/>
      <c r="P57" s="381"/>
      <c r="Q57" s="381"/>
      <c r="R57" s="381"/>
      <c r="S57" s="381"/>
      <c r="T57" s="381"/>
      <c r="U57" s="381"/>
      <c r="V57" s="600"/>
      <c r="W57" s="449"/>
      <c r="X57" s="449"/>
      <c r="Y57" s="449"/>
      <c r="Z57" s="449"/>
      <c r="AA57" s="449"/>
      <c r="AB57" s="449"/>
      <c r="AC57" s="449"/>
      <c r="AD57" s="449"/>
      <c r="AE57" s="449"/>
      <c r="AF57" s="449"/>
      <c r="AG57" s="449"/>
      <c r="AH57" s="449"/>
      <c r="AI57" s="449"/>
      <c r="AJ57" s="449"/>
      <c r="AK57" s="449"/>
      <c r="AL57" s="449"/>
      <c r="AM57" s="449"/>
      <c r="AN57" s="449"/>
      <c r="AO57" s="449"/>
      <c r="AP57" s="449"/>
      <c r="AQ57" s="449"/>
      <c r="AR57" s="449"/>
      <c r="AS57" s="449"/>
      <c r="AT57" s="449"/>
      <c r="AU57" s="449"/>
      <c r="AV57" s="449"/>
      <c r="AW57" s="449"/>
      <c r="AX57" s="449"/>
      <c r="AY57" s="449"/>
      <c r="AZ57" s="449"/>
      <c r="BA57" s="449"/>
      <c r="BB57" s="449"/>
      <c r="BC57" s="449"/>
      <c r="BD57" s="449"/>
      <c r="BE57" s="449"/>
      <c r="BF57" s="449"/>
      <c r="BG57" s="449"/>
      <c r="BH57" s="449"/>
    </row>
    <row r="58" spans="1:60" s="376" customFormat="1" ht="12.75" customHeight="1" x14ac:dyDescent="0.2">
      <c r="A58" s="449"/>
      <c r="B58" s="599"/>
      <c r="C58" s="519"/>
      <c r="K58" s="394"/>
      <c r="L58" s="381"/>
      <c r="M58" s="381"/>
      <c r="N58" s="381"/>
      <c r="O58" s="381"/>
      <c r="P58" s="381"/>
      <c r="Q58" s="381"/>
      <c r="R58" s="381"/>
      <c r="S58" s="381"/>
      <c r="T58" s="381"/>
      <c r="U58" s="381"/>
      <c r="V58" s="600"/>
      <c r="W58" s="449"/>
      <c r="X58" s="449"/>
      <c r="Y58" s="449"/>
      <c r="Z58" s="449"/>
      <c r="AA58" s="449"/>
      <c r="AB58" s="449"/>
      <c r="AC58" s="449"/>
      <c r="AD58" s="449"/>
      <c r="AE58" s="449"/>
      <c r="AF58" s="449"/>
      <c r="AG58" s="449"/>
      <c r="AH58" s="449"/>
      <c r="AI58" s="449"/>
      <c r="AJ58" s="449"/>
      <c r="AK58" s="449"/>
      <c r="AL58" s="449"/>
      <c r="AM58" s="449"/>
      <c r="AN58" s="449"/>
      <c r="AO58" s="449"/>
      <c r="AP58" s="449"/>
      <c r="AQ58" s="449"/>
      <c r="AR58" s="449"/>
      <c r="AS58" s="449"/>
      <c r="AT58" s="449"/>
      <c r="AU58" s="449"/>
      <c r="AV58" s="449"/>
      <c r="AW58" s="449"/>
      <c r="AX58" s="449"/>
      <c r="AY58" s="449"/>
      <c r="AZ58" s="449"/>
      <c r="BA58" s="449"/>
      <c r="BB58" s="449"/>
      <c r="BC58" s="449"/>
      <c r="BD58" s="449"/>
      <c r="BE58" s="449"/>
      <c r="BF58" s="449"/>
      <c r="BG58" s="449"/>
      <c r="BH58" s="449"/>
    </row>
    <row r="59" spans="1:60" ht="12.75" customHeight="1" x14ac:dyDescent="0.25">
      <c r="B59" s="435"/>
      <c r="C59" s="398"/>
      <c r="D59" s="587"/>
      <c r="E59" s="587"/>
      <c r="F59" s="587"/>
      <c r="G59" s="587"/>
      <c r="H59" s="587"/>
      <c r="I59" s="587"/>
      <c r="J59" s="587"/>
      <c r="K59" s="397"/>
      <c r="L59" s="398"/>
      <c r="M59" s="398"/>
      <c r="N59" s="398"/>
      <c r="O59" s="398"/>
      <c r="P59" s="398"/>
      <c r="Q59" s="398"/>
      <c r="R59" s="398"/>
      <c r="S59" s="398"/>
      <c r="T59" s="398"/>
      <c r="U59" s="381"/>
      <c r="V59" s="600"/>
    </row>
    <row r="60" spans="1:60" s="446" customFormat="1" ht="13.5" customHeight="1" x14ac:dyDescent="0.25">
      <c r="B60" s="605"/>
      <c r="C60" s="606"/>
      <c r="D60" s="606"/>
      <c r="E60" s="606"/>
      <c r="F60" s="607"/>
      <c r="G60" s="608"/>
      <c r="H60" s="608"/>
      <c r="I60" s="609"/>
      <c r="J60" s="609"/>
      <c r="K60" s="606"/>
      <c r="L60" s="610"/>
      <c r="M60" s="611"/>
      <c r="N60" s="611"/>
      <c r="O60" s="611"/>
      <c r="P60" s="611"/>
      <c r="Q60" s="611"/>
      <c r="R60" s="611"/>
      <c r="S60" s="611"/>
      <c r="T60" s="611"/>
      <c r="U60" s="611"/>
      <c r="V60" s="612"/>
    </row>
    <row r="61" spans="1:60" s="446" customFormat="1" ht="13.5" customHeight="1" x14ac:dyDescent="0.25">
      <c r="F61" s="452"/>
      <c r="G61" s="453"/>
      <c r="H61" s="453"/>
    </row>
    <row r="62" spans="1:60" s="446" customFormat="1" ht="13.5" customHeight="1" x14ac:dyDescent="0.25">
      <c r="F62" s="452"/>
      <c r="G62" s="453"/>
      <c r="H62" s="453"/>
    </row>
    <row r="63" spans="1:60" s="446" customFormat="1" ht="13.5" customHeight="1" x14ac:dyDescent="0.25">
      <c r="F63" s="452"/>
      <c r="G63" s="453"/>
      <c r="H63" s="453"/>
      <c r="S63" s="634"/>
      <c r="T63" s="634"/>
      <c r="X63" s="520" t="s">
        <v>11</v>
      </c>
    </row>
    <row r="64" spans="1:60" s="446" customFormat="1" ht="13.5" customHeight="1" x14ac:dyDescent="0.25">
      <c r="F64" s="452"/>
      <c r="G64" s="453"/>
      <c r="H64" s="453"/>
      <c r="X64" s="520" t="s">
        <v>12</v>
      </c>
    </row>
    <row r="65" spans="6:24" s="446" customFormat="1" ht="13.5" customHeight="1" x14ac:dyDescent="0.25">
      <c r="F65" s="452"/>
      <c r="G65" s="453"/>
      <c r="H65" s="453"/>
      <c r="X65" s="520" t="s">
        <v>13</v>
      </c>
    </row>
    <row r="66" spans="6:24" s="446" customFormat="1" ht="13.5" customHeight="1" x14ac:dyDescent="0.25">
      <c r="F66" s="452"/>
      <c r="G66" s="453"/>
      <c r="H66" s="453"/>
      <c r="X66" s="520" t="s">
        <v>14</v>
      </c>
    </row>
    <row r="67" spans="6:24" s="446" customFormat="1" ht="13.5" customHeight="1" x14ac:dyDescent="0.25">
      <c r="F67" s="452"/>
      <c r="G67" s="453"/>
      <c r="H67" s="453"/>
      <c r="X67" s="520" t="s">
        <v>3</v>
      </c>
    </row>
    <row r="68" spans="6:24" s="446" customFormat="1" ht="13.5" customHeight="1" x14ac:dyDescent="0.25">
      <c r="F68" s="452"/>
      <c r="G68" s="453"/>
      <c r="H68" s="453"/>
      <c r="X68" s="520" t="s">
        <v>4</v>
      </c>
    </row>
    <row r="69" spans="6:24" s="446" customFormat="1" ht="13.5" customHeight="1" x14ac:dyDescent="0.25">
      <c r="F69" s="452"/>
      <c r="G69" s="453"/>
      <c r="H69" s="453"/>
      <c r="X69" s="520" t="s">
        <v>5</v>
      </c>
    </row>
    <row r="70" spans="6:24" s="446" customFormat="1" ht="13.5" customHeight="1" x14ac:dyDescent="0.25">
      <c r="F70" s="452"/>
      <c r="G70" s="453"/>
      <c r="H70" s="453"/>
      <c r="X70" s="520" t="s">
        <v>6</v>
      </c>
    </row>
    <row r="71" spans="6:24" s="446" customFormat="1" ht="13.5" customHeight="1" x14ac:dyDescent="0.25">
      <c r="F71" s="452"/>
      <c r="G71" s="453"/>
      <c r="H71" s="453"/>
      <c r="X71" s="520" t="s">
        <v>7</v>
      </c>
    </row>
    <row r="72" spans="6:24" s="446" customFormat="1" ht="13.5" customHeight="1" x14ac:dyDescent="0.25">
      <c r="F72" s="452"/>
      <c r="G72" s="453"/>
      <c r="H72" s="453"/>
      <c r="X72" s="520" t="s">
        <v>8</v>
      </c>
    </row>
    <row r="73" spans="6:24" s="446" customFormat="1" ht="13.5" customHeight="1" x14ac:dyDescent="0.25">
      <c r="F73" s="452"/>
      <c r="G73" s="453"/>
      <c r="H73" s="453"/>
      <c r="X73" s="520" t="s">
        <v>9</v>
      </c>
    </row>
    <row r="74" spans="6:24" s="446" customFormat="1" ht="13.5" customHeight="1" x14ac:dyDescent="0.25">
      <c r="F74" s="452"/>
      <c r="G74" s="453"/>
      <c r="H74" s="453"/>
      <c r="X74" s="521" t="s">
        <v>87</v>
      </c>
    </row>
    <row r="75" spans="6:24" s="446" customFormat="1" ht="13.5" customHeight="1" x14ac:dyDescent="0.25">
      <c r="F75" s="452"/>
      <c r="G75" s="453"/>
      <c r="H75" s="453"/>
      <c r="X75" s="521" t="s">
        <v>88</v>
      </c>
    </row>
    <row r="76" spans="6:24" s="446" customFormat="1" ht="13.5" customHeight="1" x14ac:dyDescent="0.25">
      <c r="F76" s="452"/>
      <c r="G76" s="453"/>
      <c r="H76" s="453"/>
      <c r="X76" s="521" t="s">
        <v>89</v>
      </c>
    </row>
    <row r="77" spans="6:24" s="446" customFormat="1" ht="13.5" customHeight="1" x14ac:dyDescent="0.25">
      <c r="F77" s="452"/>
      <c r="G77" s="453"/>
      <c r="H77" s="453"/>
      <c r="X77" s="520" t="s">
        <v>0</v>
      </c>
    </row>
    <row r="78" spans="6:24" s="446" customFormat="1" ht="13.5" customHeight="1" x14ac:dyDescent="0.25">
      <c r="F78" s="452"/>
      <c r="G78" s="453"/>
      <c r="H78" s="453"/>
      <c r="X78" s="520" t="s">
        <v>15</v>
      </c>
    </row>
    <row r="79" spans="6:24" s="446" customFormat="1" ht="13.5" customHeight="1" x14ac:dyDescent="0.25">
      <c r="F79" s="452"/>
      <c r="G79" s="453"/>
      <c r="H79" s="453"/>
      <c r="X79" s="520" t="s">
        <v>16</v>
      </c>
    </row>
    <row r="80" spans="6:24" s="446" customFormat="1" ht="13.5" customHeight="1" x14ac:dyDescent="0.25">
      <c r="F80" s="452"/>
      <c r="G80" s="453"/>
      <c r="H80" s="453"/>
      <c r="X80" s="520" t="s">
        <v>17</v>
      </c>
    </row>
    <row r="81" spans="6:24" s="446" customFormat="1" ht="13.5" customHeight="1" x14ac:dyDescent="0.25">
      <c r="F81" s="452"/>
      <c r="G81" s="453"/>
      <c r="H81" s="453"/>
      <c r="X81" s="520" t="s">
        <v>18</v>
      </c>
    </row>
    <row r="82" spans="6:24" s="446" customFormat="1" ht="13.5" customHeight="1" x14ac:dyDescent="0.25">
      <c r="F82" s="452"/>
      <c r="G82" s="453"/>
      <c r="H82" s="453"/>
      <c r="X82" s="521" t="s">
        <v>19</v>
      </c>
    </row>
    <row r="83" spans="6:24" s="446" customFormat="1" ht="13.5" customHeight="1" x14ac:dyDescent="0.25">
      <c r="F83" s="452"/>
      <c r="G83" s="453"/>
      <c r="H83" s="453"/>
      <c r="X83" s="521" t="s">
        <v>20</v>
      </c>
    </row>
    <row r="84" spans="6:24" s="446" customFormat="1" ht="13.5" customHeight="1" x14ac:dyDescent="0.25">
      <c r="F84" s="452"/>
      <c r="G84" s="453"/>
      <c r="H84" s="453"/>
      <c r="X84" s="521" t="s">
        <v>86</v>
      </c>
    </row>
    <row r="85" spans="6:24" s="446" customFormat="1" ht="13.5" customHeight="1" x14ac:dyDescent="0.25">
      <c r="F85" s="452"/>
      <c r="G85" s="453"/>
      <c r="H85" s="453"/>
      <c r="X85" s="521" t="s">
        <v>82</v>
      </c>
    </row>
    <row r="86" spans="6:24" s="446" customFormat="1" ht="13.5" customHeight="1" x14ac:dyDescent="0.25">
      <c r="F86" s="452"/>
      <c r="G86" s="453"/>
      <c r="H86" s="453"/>
      <c r="X86" s="521" t="s">
        <v>83</v>
      </c>
    </row>
    <row r="87" spans="6:24" s="446" customFormat="1" ht="13.5" customHeight="1" x14ac:dyDescent="0.25">
      <c r="F87" s="452"/>
      <c r="G87" s="453"/>
      <c r="H87" s="453"/>
      <c r="X87" s="521" t="s">
        <v>84</v>
      </c>
    </row>
    <row r="88" spans="6:24" s="446" customFormat="1" ht="13.5" customHeight="1" x14ac:dyDescent="0.25">
      <c r="F88" s="452"/>
      <c r="G88" s="453"/>
      <c r="H88" s="453"/>
      <c r="X88" s="521" t="s">
        <v>85</v>
      </c>
    </row>
    <row r="89" spans="6:24" s="446" customFormat="1" ht="13.5" customHeight="1" x14ac:dyDescent="0.25">
      <c r="F89" s="452"/>
      <c r="G89" s="453"/>
      <c r="H89" s="453"/>
      <c r="X89" s="521">
        <v>1</v>
      </c>
    </row>
    <row r="90" spans="6:24" s="446" customFormat="1" ht="13.5" customHeight="1" x14ac:dyDescent="0.25">
      <c r="F90" s="452"/>
      <c r="G90" s="453"/>
      <c r="H90" s="453"/>
      <c r="X90" s="521">
        <v>2</v>
      </c>
    </row>
    <row r="91" spans="6:24" s="446" customFormat="1" ht="13.5" customHeight="1" x14ac:dyDescent="0.25">
      <c r="F91" s="452"/>
      <c r="G91" s="453"/>
      <c r="H91" s="453"/>
      <c r="X91" s="521">
        <v>3</v>
      </c>
    </row>
    <row r="92" spans="6:24" s="446" customFormat="1" ht="13.5" customHeight="1" x14ac:dyDescent="0.25">
      <c r="F92" s="452"/>
      <c r="G92" s="453"/>
      <c r="H92" s="453"/>
      <c r="X92" s="521">
        <v>4</v>
      </c>
    </row>
    <row r="93" spans="6:24" s="446" customFormat="1" ht="13.5" customHeight="1" x14ac:dyDescent="0.25">
      <c r="F93" s="452"/>
      <c r="G93" s="453"/>
      <c r="H93" s="453"/>
      <c r="X93" s="521">
        <v>5</v>
      </c>
    </row>
    <row r="94" spans="6:24" s="446" customFormat="1" ht="13.5" customHeight="1" x14ac:dyDescent="0.25">
      <c r="F94" s="452"/>
      <c r="G94" s="453"/>
      <c r="H94" s="453"/>
      <c r="X94" s="521">
        <v>6</v>
      </c>
    </row>
    <row r="95" spans="6:24" s="446" customFormat="1" ht="13.5" customHeight="1" x14ac:dyDescent="0.25">
      <c r="F95" s="452"/>
      <c r="G95" s="453"/>
      <c r="H95" s="453"/>
      <c r="X95" s="521">
        <v>7</v>
      </c>
    </row>
    <row r="96" spans="6:24" s="446" customFormat="1" ht="13.5" customHeight="1" x14ac:dyDescent="0.25">
      <c r="F96" s="452"/>
      <c r="G96" s="453"/>
      <c r="H96" s="453"/>
      <c r="X96" s="521">
        <v>8</v>
      </c>
    </row>
    <row r="97" spans="2:24" s="446" customFormat="1" ht="13.5" customHeight="1" x14ac:dyDescent="0.25">
      <c r="F97" s="452"/>
      <c r="G97" s="453"/>
      <c r="H97" s="453"/>
      <c r="X97" s="521">
        <v>9</v>
      </c>
    </row>
    <row r="98" spans="2:24" s="446" customFormat="1" ht="13.5" customHeight="1" x14ac:dyDescent="0.25">
      <c r="F98" s="452"/>
      <c r="G98" s="453"/>
      <c r="H98" s="453"/>
      <c r="X98" s="521">
        <v>10</v>
      </c>
    </row>
    <row r="99" spans="2:24" s="446" customFormat="1" ht="13.5" customHeight="1" x14ac:dyDescent="0.25">
      <c r="F99" s="452"/>
      <c r="G99" s="453"/>
      <c r="H99" s="453"/>
      <c r="X99" s="521">
        <v>11</v>
      </c>
    </row>
    <row r="100" spans="2:24" s="446" customFormat="1" ht="13.5" customHeight="1" x14ac:dyDescent="0.25">
      <c r="F100" s="452"/>
      <c r="G100" s="453"/>
      <c r="H100" s="453"/>
      <c r="X100" s="521">
        <v>12</v>
      </c>
    </row>
    <row r="101" spans="2:24" s="446" customFormat="1" ht="13.5" customHeight="1" x14ac:dyDescent="0.25">
      <c r="F101" s="452"/>
      <c r="G101" s="453"/>
      <c r="H101" s="453"/>
      <c r="X101" s="521">
        <v>13</v>
      </c>
    </row>
    <row r="102" spans="2:24" s="446" customFormat="1" ht="13.5" customHeight="1" x14ac:dyDescent="0.25">
      <c r="F102" s="452"/>
      <c r="G102" s="453"/>
      <c r="H102" s="453"/>
      <c r="X102" s="521">
        <v>14</v>
      </c>
    </row>
    <row r="103" spans="2:24" s="446" customFormat="1" ht="13.5" customHeight="1" x14ac:dyDescent="0.25">
      <c r="F103" s="452"/>
      <c r="G103" s="453"/>
      <c r="H103" s="453"/>
      <c r="X103" s="521">
        <v>15</v>
      </c>
    </row>
    <row r="104" spans="2:24" s="446" customFormat="1" ht="13.5" customHeight="1" x14ac:dyDescent="0.25">
      <c r="F104" s="452"/>
      <c r="G104" s="453"/>
      <c r="H104" s="453"/>
      <c r="X104" s="521">
        <v>16</v>
      </c>
    </row>
    <row r="105" spans="2:24" s="446" customFormat="1" ht="13.5" customHeight="1" x14ac:dyDescent="0.25">
      <c r="F105" s="452"/>
      <c r="G105" s="453"/>
      <c r="H105" s="453"/>
      <c r="X105" s="454"/>
    </row>
    <row r="106" spans="2:24" s="446" customFormat="1" ht="13.5" customHeight="1" x14ac:dyDescent="0.25">
      <c r="F106" s="452"/>
      <c r="G106" s="453"/>
      <c r="H106" s="453"/>
      <c r="X106" s="454"/>
    </row>
    <row r="107" spans="2:24" s="446" customFormat="1" ht="13.5" customHeight="1" x14ac:dyDescent="0.25">
      <c r="F107" s="452"/>
      <c r="G107" s="453"/>
      <c r="H107" s="453"/>
    </row>
    <row r="108" spans="2:24" ht="13.5" customHeight="1" x14ac:dyDescent="0.25">
      <c r="B108" s="446"/>
      <c r="C108" s="446"/>
      <c r="D108" s="446"/>
      <c r="E108" s="446"/>
      <c r="F108" s="452"/>
      <c r="G108" s="453"/>
      <c r="H108" s="453"/>
      <c r="I108" s="446"/>
      <c r="J108" s="446"/>
      <c r="K108" s="446"/>
      <c r="L108" s="446"/>
      <c r="M108" s="446"/>
      <c r="N108" s="446"/>
      <c r="O108" s="446"/>
      <c r="P108" s="446"/>
      <c r="Q108" s="446"/>
      <c r="R108" s="446"/>
      <c r="S108" s="446"/>
      <c r="T108" s="446"/>
      <c r="U108" s="446"/>
      <c r="V108" s="446"/>
    </row>
  </sheetData>
  <sheetProtection algorithmName="SHA-512" hashValue="rE2sW5crDA4gxPVjlHq9KawaYdaWlAk2fYn3lLfAUPbAs/n4QL5hkY39oTMAjdCRy2oEUTm4Cb2Dkob6w7UFyA==" saltValue="2M1JNWyBEQfJY1i86aRmKA==" spinCount="100000" sheet="1" objects="1" scenarios="1"/>
  <mergeCells count="1">
    <mergeCell ref="I57:J57"/>
  </mergeCells>
  <phoneticPr fontId="0" type="noConversion"/>
  <dataValidations disablePrompts="1" count="7">
    <dataValidation type="list" allowBlank="1" showInputMessage="1" showErrorMessage="1" sqref="H50">
      <formula1>"1,2,3"</formula1>
    </dataValidation>
    <dataValidation type="list" allowBlank="1" showInputMessage="1" showErrorMessage="1" sqref="G28:G29 G36">
      <formula1>"j,n"</formula1>
    </dataValidation>
    <dataValidation type="list" allowBlank="1" showInputMessage="1" showErrorMessage="1" sqref="F36">
      <formula1>"leraar,directie,OOP S9"</formula1>
    </dataValidation>
    <dataValidation type="list" allowBlank="1" showInputMessage="1" showErrorMessage="1" sqref="F28">
      <formula1>"LA,LB,LC,LD"</formula1>
    </dataValidation>
    <dataValidation type="list" allowBlank="1" showInputMessage="1" showErrorMessage="1" sqref="H28:H29 H36">
      <formula1>#REF!</formula1>
    </dataValidation>
    <dataValidation type="list" allowBlank="1" showInputMessage="1" showErrorMessage="1" sqref="I15">
      <formula1>$X$62:$X$104</formula1>
    </dataValidation>
    <dataValidation type="list" allowBlank="1" showInputMessage="1" showErrorMessage="1" sqref="G50">
      <formula1>"1,2,3,4"</formula1>
    </dataValidation>
  </dataValidations>
  <printOptions gridLines="1"/>
  <pageMargins left="0.74803149606299213" right="0.74803149606299213" top="0.98425196850393704" bottom="0.98425196850393704" header="0.51181102362204722" footer="0.51181102362204722"/>
  <pageSetup paperSize="9" scale="58" orientation="landscape" r:id="rId1"/>
  <headerFooter alignWithMargins="0">
    <oddHeader>&amp;L&amp;"Arial,Vet"&amp;A&amp;C&amp;"Arial,Vet"&amp;D&amp;R&amp;"Arial,Vet"&amp;F</oddHeader>
    <oddFooter>&amp;L&amp;"Arial,Vet"&amp;8gemaakt door PO-Raad&amp;R&amp;"Arial,Vet"&amp;P</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14"/>
  <sheetViews>
    <sheetView zoomScale="85" zoomScaleNormal="85" workbookViewId="0">
      <selection activeCell="B2" sqref="B2"/>
    </sheetView>
  </sheetViews>
  <sheetFormatPr defaultColWidth="9.140625" defaultRowHeight="13.5" customHeight="1" x14ac:dyDescent="0.25"/>
  <cols>
    <col min="1" max="1" width="3.7109375" style="3" customWidth="1"/>
    <col min="2" max="3" width="2.7109375" style="3" customWidth="1"/>
    <col min="4" max="4" width="35.7109375" style="3" customWidth="1"/>
    <col min="5" max="6" width="12.85546875" style="3" customWidth="1"/>
    <col min="7" max="7" width="14.85546875" style="3" customWidth="1"/>
    <col min="8" max="10" width="12.85546875" style="3" customWidth="1"/>
    <col min="11" max="11" width="2.5703125" style="100" customWidth="1"/>
    <col min="12" max="12" width="2.28515625" style="3" customWidth="1"/>
    <col min="13" max="16384" width="9.140625" style="3"/>
  </cols>
  <sheetData>
    <row r="2" spans="2:13" ht="13.5" customHeight="1" x14ac:dyDescent="0.25">
      <c r="B2" s="38"/>
      <c r="C2" s="39"/>
      <c r="D2" s="39"/>
      <c r="E2" s="39"/>
      <c r="F2" s="39"/>
      <c r="G2" s="39"/>
      <c r="H2" s="39"/>
      <c r="I2" s="39"/>
      <c r="J2" s="39"/>
      <c r="K2" s="96"/>
      <c r="L2" s="40"/>
    </row>
    <row r="3" spans="2:13" ht="13.5" customHeight="1" x14ac:dyDescent="0.25">
      <c r="B3" s="41"/>
      <c r="C3" s="20"/>
      <c r="D3" s="20"/>
      <c r="E3" s="20"/>
      <c r="F3" s="20"/>
      <c r="G3" s="20"/>
      <c r="H3" s="20"/>
      <c r="I3" s="20"/>
      <c r="J3" s="20"/>
      <c r="K3" s="97"/>
      <c r="L3" s="27"/>
    </row>
    <row r="4" spans="2:13" s="66" customFormat="1" ht="18" customHeight="1" x14ac:dyDescent="0.3">
      <c r="B4" s="63"/>
      <c r="C4" s="64" t="s">
        <v>214</v>
      </c>
      <c r="D4" s="64"/>
      <c r="E4" s="64"/>
      <c r="F4" s="64"/>
      <c r="G4" s="260" t="str">
        <f>tabellen!B2</f>
        <v>2017/2018</v>
      </c>
      <c r="H4" s="254"/>
      <c r="I4" s="64"/>
      <c r="J4" s="64"/>
      <c r="K4" s="98"/>
      <c r="L4" s="65"/>
    </row>
    <row r="5" spans="2:13" ht="13.5" customHeight="1" x14ac:dyDescent="0.25">
      <c r="B5" s="41"/>
      <c r="C5" s="20"/>
      <c r="D5" s="20"/>
      <c r="E5" s="20"/>
      <c r="F5" s="20"/>
      <c r="G5" s="20"/>
      <c r="H5" s="20"/>
      <c r="I5" s="20"/>
      <c r="J5" s="20"/>
      <c r="K5" s="97"/>
      <c r="L5" s="27"/>
    </row>
    <row r="6" spans="2:13" ht="13.5" customHeight="1" x14ac:dyDescent="0.25">
      <c r="B6" s="41"/>
      <c r="C6" s="20"/>
      <c r="D6" s="20"/>
      <c r="E6" s="20"/>
      <c r="F6" s="20"/>
      <c r="G6" s="20"/>
      <c r="H6" s="20"/>
      <c r="I6" s="20"/>
      <c r="J6" s="20"/>
      <c r="K6" s="97"/>
      <c r="L6" s="27"/>
    </row>
    <row r="7" spans="2:13" ht="13.5" customHeight="1" x14ac:dyDescent="0.25">
      <c r="B7" s="41"/>
      <c r="C7" s="133"/>
      <c r="D7" s="109"/>
      <c r="E7" s="109"/>
      <c r="F7" s="109"/>
      <c r="G7" s="109"/>
      <c r="H7" s="109"/>
      <c r="I7" s="109"/>
      <c r="J7" s="109"/>
      <c r="K7" s="134"/>
      <c r="L7" s="27"/>
    </row>
    <row r="8" spans="2:13" ht="13.5" customHeight="1" x14ac:dyDescent="0.25">
      <c r="B8" s="41"/>
      <c r="C8" s="135"/>
      <c r="D8" s="136" t="s">
        <v>219</v>
      </c>
      <c r="E8" s="115"/>
      <c r="F8" s="115"/>
      <c r="G8" s="115"/>
      <c r="H8" s="115"/>
      <c r="I8" s="115"/>
      <c r="J8" s="115"/>
      <c r="K8" s="137"/>
      <c r="L8" s="27"/>
    </row>
    <row r="9" spans="2:13" ht="13.5" customHeight="1" x14ac:dyDescent="0.25">
      <c r="B9" s="41"/>
      <c r="C9" s="135"/>
      <c r="D9" s="115"/>
      <c r="E9" s="115"/>
      <c r="F9" s="115"/>
      <c r="G9" s="115"/>
      <c r="H9" s="115"/>
      <c r="I9" s="115"/>
      <c r="J9" s="115"/>
      <c r="K9" s="137"/>
      <c r="L9" s="27"/>
    </row>
    <row r="10" spans="2:13" ht="13.5" customHeight="1" x14ac:dyDescent="0.25">
      <c r="B10" s="41"/>
      <c r="C10" s="135"/>
      <c r="D10" s="115" t="s">
        <v>117</v>
      </c>
      <c r="E10" s="115"/>
      <c r="F10" s="115"/>
      <c r="G10" s="115"/>
      <c r="H10" s="123" t="s">
        <v>118</v>
      </c>
      <c r="I10" s="138"/>
      <c r="J10" s="139"/>
      <c r="K10" s="137"/>
      <c r="L10" s="27"/>
    </row>
    <row r="11" spans="2:13" ht="13.5" customHeight="1" x14ac:dyDescent="0.25">
      <c r="B11" s="41"/>
      <c r="C11" s="135"/>
      <c r="D11" s="115"/>
      <c r="E11" s="115"/>
      <c r="F11" s="115"/>
      <c r="G11" s="140"/>
      <c r="H11" s="140"/>
      <c r="I11" s="139"/>
      <c r="J11" s="139"/>
      <c r="K11" s="137"/>
      <c r="L11" s="27"/>
    </row>
    <row r="12" spans="2:13" s="34" customFormat="1" ht="13.5" customHeight="1" x14ac:dyDescent="0.25">
      <c r="B12" s="43"/>
      <c r="C12" s="141"/>
      <c r="D12" s="142" t="s">
        <v>23</v>
      </c>
      <c r="E12" s="142"/>
      <c r="F12" s="142"/>
      <c r="G12" s="142"/>
      <c r="H12" s="142"/>
      <c r="I12" s="142"/>
      <c r="J12" s="142"/>
      <c r="K12" s="143"/>
      <c r="L12" s="30"/>
    </row>
    <row r="13" spans="2:13" ht="13.5" customHeight="1" x14ac:dyDescent="0.25">
      <c r="B13" s="41"/>
      <c r="C13" s="135"/>
      <c r="D13" s="114" t="s">
        <v>21</v>
      </c>
      <c r="E13" s="115"/>
      <c r="F13" s="115"/>
      <c r="G13" s="124"/>
      <c r="H13" s="118" t="s">
        <v>0</v>
      </c>
      <c r="I13" s="144"/>
      <c r="J13" s="115"/>
      <c r="K13" s="137"/>
      <c r="L13" s="27"/>
    </row>
    <row r="14" spans="2:13" ht="13.5" customHeight="1" x14ac:dyDescent="0.25">
      <c r="B14" s="41"/>
      <c r="C14" s="135"/>
      <c r="D14" s="115" t="s">
        <v>22</v>
      </c>
      <c r="E14" s="115"/>
      <c r="F14" s="115"/>
      <c r="G14" s="124"/>
      <c r="H14" s="118">
        <v>8</v>
      </c>
      <c r="I14" s="115"/>
      <c r="J14" s="115"/>
      <c r="K14" s="137"/>
      <c r="L14" s="27"/>
      <c r="M14" s="31"/>
    </row>
    <row r="15" spans="2:13" ht="13.5" customHeight="1" x14ac:dyDescent="0.25">
      <c r="B15" s="41"/>
      <c r="C15" s="135"/>
      <c r="D15" s="115" t="s">
        <v>24</v>
      </c>
      <c r="E15" s="115"/>
      <c r="F15" s="115"/>
      <c r="G15" s="145"/>
      <c r="H15" s="146">
        <f>VLOOKUP(H13,salaristabellen,H14+1,FALSE)</f>
        <v>2847</v>
      </c>
      <c r="I15" s="115"/>
      <c r="J15" s="115"/>
      <c r="K15" s="137"/>
      <c r="L15" s="27"/>
      <c r="M15" s="31"/>
    </row>
    <row r="16" spans="2:13" ht="13.5" customHeight="1" x14ac:dyDescent="0.25">
      <c r="B16" s="41"/>
      <c r="C16" s="135"/>
      <c r="D16" s="115" t="s">
        <v>25</v>
      </c>
      <c r="E16" s="115"/>
      <c r="F16" s="115"/>
      <c r="G16" s="122"/>
      <c r="H16" s="121">
        <v>1</v>
      </c>
      <c r="I16" s="115"/>
      <c r="J16" s="115"/>
      <c r="K16" s="137"/>
      <c r="L16" s="27"/>
      <c r="M16" s="31"/>
    </row>
    <row r="17" spans="2:13" ht="13.5" customHeight="1" x14ac:dyDescent="0.25">
      <c r="B17" s="41"/>
      <c r="C17" s="135"/>
      <c r="D17" s="115" t="s">
        <v>26</v>
      </c>
      <c r="E17" s="115"/>
      <c r="F17" s="115"/>
      <c r="G17" s="147"/>
      <c r="H17" s="148">
        <f>+H15*H16</f>
        <v>2847</v>
      </c>
      <c r="I17" s="115"/>
      <c r="J17" s="115"/>
      <c r="K17" s="137"/>
      <c r="L17" s="27"/>
      <c r="M17" s="31"/>
    </row>
    <row r="18" spans="2:13" ht="13.5" customHeight="1" x14ac:dyDescent="0.25">
      <c r="B18" s="41"/>
      <c r="C18" s="149"/>
      <c r="D18" s="150"/>
      <c r="E18" s="150"/>
      <c r="F18" s="150"/>
      <c r="G18" s="151"/>
      <c r="H18" s="151"/>
      <c r="I18" s="150"/>
      <c r="J18" s="150"/>
      <c r="K18" s="152"/>
      <c r="L18" s="27"/>
      <c r="M18" s="31"/>
    </row>
    <row r="19" spans="2:13" ht="13.5" customHeight="1" x14ac:dyDescent="0.25">
      <c r="B19" s="41"/>
      <c r="C19" s="20"/>
      <c r="D19" s="20"/>
      <c r="E19" s="20"/>
      <c r="F19" s="20"/>
      <c r="G19" s="20"/>
      <c r="H19" s="20"/>
      <c r="I19" s="20"/>
      <c r="J19" s="20"/>
      <c r="K19" s="97"/>
      <c r="L19" s="27"/>
      <c r="M19" s="31"/>
    </row>
    <row r="20" spans="2:13" ht="13.5" customHeight="1" x14ac:dyDescent="0.25">
      <c r="B20" s="41"/>
      <c r="C20" s="133"/>
      <c r="D20" s="109"/>
      <c r="E20" s="109"/>
      <c r="F20" s="109"/>
      <c r="G20" s="109"/>
      <c r="H20" s="109"/>
      <c r="I20" s="109"/>
      <c r="J20" s="109"/>
      <c r="K20" s="134"/>
      <c r="L20" s="27"/>
      <c r="M20" s="31"/>
    </row>
    <row r="21" spans="2:13" s="34" customFormat="1" ht="13.5" customHeight="1" x14ac:dyDescent="0.25">
      <c r="B21" s="43"/>
      <c r="C21" s="141"/>
      <c r="D21" s="136" t="s">
        <v>121</v>
      </c>
      <c r="E21" s="136"/>
      <c r="F21" s="136"/>
      <c r="G21" s="153"/>
      <c r="H21" s="153" t="s">
        <v>122</v>
      </c>
      <c r="I21" s="153" t="s">
        <v>123</v>
      </c>
      <c r="J21" s="154"/>
      <c r="K21" s="155"/>
      <c r="L21" s="30"/>
      <c r="M21" s="36"/>
    </row>
    <row r="22" spans="2:13" ht="13.5" customHeight="1" x14ac:dyDescent="0.25">
      <c r="B22" s="41"/>
      <c r="C22" s="135"/>
      <c r="D22" s="156"/>
      <c r="E22" s="156"/>
      <c r="F22" s="156"/>
      <c r="G22" s="157"/>
      <c r="H22" s="157"/>
      <c r="I22" s="157"/>
      <c r="J22" s="127"/>
      <c r="K22" s="158"/>
      <c r="L22" s="27"/>
      <c r="M22" s="31"/>
    </row>
    <row r="23" spans="2:13" ht="13.5" customHeight="1" x14ac:dyDescent="0.25">
      <c r="B23" s="41"/>
      <c r="C23" s="135"/>
      <c r="D23" s="115" t="s">
        <v>120</v>
      </c>
      <c r="E23" s="115"/>
      <c r="F23" s="115"/>
      <c r="G23" s="124"/>
      <c r="H23" s="118" t="s">
        <v>119</v>
      </c>
      <c r="I23" s="157"/>
      <c r="J23" s="127"/>
      <c r="K23" s="158"/>
      <c r="L23" s="27"/>
      <c r="M23" s="31"/>
    </row>
    <row r="24" spans="2:13" ht="13.5" customHeight="1" x14ac:dyDescent="0.25">
      <c r="B24" s="41"/>
      <c r="C24" s="135"/>
      <c r="D24" s="156"/>
      <c r="E24" s="156"/>
      <c r="F24" s="156"/>
      <c r="G24" s="157"/>
      <c r="H24" s="157"/>
      <c r="I24" s="157"/>
      <c r="J24" s="127"/>
      <c r="K24" s="158"/>
      <c r="L24" s="27"/>
      <c r="M24" s="31"/>
    </row>
    <row r="25" spans="2:13" ht="13.5" customHeight="1" x14ac:dyDescent="0.25">
      <c r="B25" s="41"/>
      <c r="C25" s="135"/>
      <c r="D25" s="115" t="s">
        <v>124</v>
      </c>
      <c r="E25" s="115"/>
      <c r="F25" s="115"/>
      <c r="G25" s="127"/>
      <c r="H25" s="159">
        <f>ROUND(415*H16,0)</f>
        <v>415</v>
      </c>
      <c r="I25" s="160">
        <f>ROUND(233*H16,0)</f>
        <v>233</v>
      </c>
      <c r="J25" s="113"/>
      <c r="K25" s="158"/>
      <c r="L25" s="19"/>
      <c r="M25" s="31"/>
    </row>
    <row r="26" spans="2:13" ht="13.5" customHeight="1" x14ac:dyDescent="0.25">
      <c r="B26" s="41"/>
      <c r="C26" s="135"/>
      <c r="D26" s="115" t="s">
        <v>125</v>
      </c>
      <c r="E26" s="115"/>
      <c r="F26" s="115"/>
      <c r="G26" s="124"/>
      <c r="H26" s="118">
        <v>415</v>
      </c>
      <c r="I26" s="161">
        <v>233</v>
      </c>
      <c r="J26" s="113"/>
      <c r="K26" s="158"/>
      <c r="L26" s="19"/>
      <c r="M26" s="31"/>
    </row>
    <row r="27" spans="2:13" ht="13.5" customHeight="1" x14ac:dyDescent="0.25">
      <c r="B27" s="41"/>
      <c r="C27" s="135"/>
      <c r="D27" s="115" t="s">
        <v>126</v>
      </c>
      <c r="E27" s="115"/>
      <c r="F27" s="115"/>
      <c r="G27" s="162"/>
      <c r="H27" s="163">
        <f>+H26/H25</f>
        <v>1</v>
      </c>
      <c r="I27" s="163">
        <f>+I26/I25</f>
        <v>1</v>
      </c>
      <c r="J27" s="113"/>
      <c r="K27" s="158"/>
      <c r="L27" s="19"/>
      <c r="M27" s="31"/>
    </row>
    <row r="28" spans="2:13" ht="13.5" customHeight="1" x14ac:dyDescent="0.25">
      <c r="B28" s="41"/>
      <c r="C28" s="135"/>
      <c r="D28" s="115" t="s">
        <v>127</v>
      </c>
      <c r="E28" s="115"/>
      <c r="F28" s="115"/>
      <c r="G28" s="124"/>
      <c r="H28" s="118">
        <v>6</v>
      </c>
      <c r="I28" s="164" t="str">
        <f>IF(H28&lt;2.999,"moet minimaal 3 gehele maanden zijn"," ")</f>
        <v xml:space="preserve"> </v>
      </c>
      <c r="J28" s="113"/>
      <c r="K28" s="158"/>
      <c r="L28" s="19"/>
      <c r="M28" s="31"/>
    </row>
    <row r="29" spans="2:13" ht="13.5" customHeight="1" x14ac:dyDescent="0.25">
      <c r="B29" s="41"/>
      <c r="C29" s="135"/>
      <c r="D29" s="115"/>
      <c r="E29" s="115"/>
      <c r="F29" s="115"/>
      <c r="G29" s="127"/>
      <c r="H29" s="127"/>
      <c r="I29" s="127"/>
      <c r="J29" s="113"/>
      <c r="K29" s="165"/>
      <c r="L29" s="19"/>
      <c r="M29" s="31"/>
    </row>
    <row r="30" spans="2:13" ht="13.5" customHeight="1" x14ac:dyDescent="0.25">
      <c r="B30" s="41"/>
      <c r="C30" s="135"/>
      <c r="D30" s="115" t="s">
        <v>187</v>
      </c>
      <c r="E30" s="115"/>
      <c r="F30" s="115"/>
      <c r="G30" s="166"/>
      <c r="H30" s="166">
        <f>ROUND(IF(H23="ja",+(I26/I25),H26/H25)*(3/H28)*H16,4)</f>
        <v>0.5</v>
      </c>
      <c r="I30" s="127"/>
      <c r="J30" s="167"/>
      <c r="K30" s="168"/>
      <c r="L30" s="19"/>
      <c r="M30" s="31"/>
    </row>
    <row r="31" spans="2:13" ht="13.5" customHeight="1" x14ac:dyDescent="0.25">
      <c r="B31" s="41"/>
      <c r="C31" s="135"/>
      <c r="D31" s="115" t="s">
        <v>128</v>
      </c>
      <c r="E31" s="115"/>
      <c r="F31" s="115"/>
      <c r="G31" s="162"/>
      <c r="H31" s="162">
        <f>ROUND(+IF(H23="ja",I26,H26)/ROUND((IF(H23="ja",233,415)*H16),0)*1.35/H28,4)</f>
        <v>0.22500000000000001</v>
      </c>
      <c r="I31" s="127"/>
      <c r="J31" s="169">
        <f>+H31*H17</f>
        <v>640.57500000000005</v>
      </c>
      <c r="K31" s="170">
        <f>+H30*0.45*H15</f>
        <v>640.57500000000005</v>
      </c>
      <c r="L31" s="27"/>
    </row>
    <row r="32" spans="2:13" ht="13.5" customHeight="1" x14ac:dyDescent="0.25">
      <c r="B32" s="41"/>
      <c r="C32" s="135"/>
      <c r="D32" s="115"/>
      <c r="E32" s="115"/>
      <c r="F32" s="115"/>
      <c r="G32" s="162"/>
      <c r="H32" s="162"/>
      <c r="I32" s="127"/>
      <c r="J32" s="167"/>
      <c r="K32" s="170"/>
      <c r="L32" s="27"/>
    </row>
    <row r="33" spans="2:12" ht="13.5" customHeight="1" x14ac:dyDescent="0.25">
      <c r="B33" s="41"/>
      <c r="C33" s="135"/>
      <c r="D33" s="115" t="s">
        <v>188</v>
      </c>
      <c r="E33" s="115"/>
      <c r="F33" s="115"/>
      <c r="G33" s="162"/>
      <c r="H33" s="162">
        <f>ROUND((3*I27/H28),4)-H31</f>
        <v>0.27500000000000002</v>
      </c>
      <c r="I33" s="127"/>
      <c r="J33" s="146">
        <f>+H33*H17</f>
        <v>782.92500000000007</v>
      </c>
      <c r="K33" s="171">
        <f>+H30*0.55*H15</f>
        <v>782.92500000000007</v>
      </c>
      <c r="L33" s="27"/>
    </row>
    <row r="34" spans="2:12" ht="13.5" customHeight="1" x14ac:dyDescent="0.25">
      <c r="B34" s="41"/>
      <c r="C34" s="135"/>
      <c r="D34" s="115" t="s">
        <v>129</v>
      </c>
      <c r="E34" s="115"/>
      <c r="F34" s="115"/>
      <c r="G34" s="162"/>
      <c r="H34" s="162">
        <f>1-ROUND(1/0.45*H31,4)</f>
        <v>0.5</v>
      </c>
      <c r="I34" s="127"/>
      <c r="J34" s="146">
        <f>+H34*H17</f>
        <v>1423.5</v>
      </c>
      <c r="K34" s="172"/>
      <c r="L34" s="27"/>
    </row>
    <row r="35" spans="2:12" s="34" customFormat="1" ht="13.5" customHeight="1" x14ac:dyDescent="0.25">
      <c r="B35" s="43"/>
      <c r="C35" s="141"/>
      <c r="D35" s="142" t="s">
        <v>130</v>
      </c>
      <c r="E35" s="142"/>
      <c r="F35" s="142"/>
      <c r="G35" s="173"/>
      <c r="H35" s="173">
        <f>+H33+H34</f>
        <v>0.77500000000000002</v>
      </c>
      <c r="I35" s="154"/>
      <c r="J35" s="174">
        <f>SUM(J33:J34)</f>
        <v>2206.4250000000002</v>
      </c>
      <c r="K35" s="175"/>
      <c r="L35" s="30"/>
    </row>
    <row r="36" spans="2:12" ht="13.5" customHeight="1" x14ac:dyDescent="0.25">
      <c r="B36" s="41"/>
      <c r="C36" s="135"/>
      <c r="D36" s="176" t="s">
        <v>131</v>
      </c>
      <c r="E36" s="176"/>
      <c r="F36" s="176"/>
      <c r="G36" s="177"/>
      <c r="H36" s="177"/>
      <c r="I36" s="177"/>
      <c r="J36" s="178">
        <f>+J33*H28</f>
        <v>4697.55</v>
      </c>
      <c r="K36" s="172"/>
      <c r="L36" s="27"/>
    </row>
    <row r="37" spans="2:12" ht="13.5" customHeight="1" x14ac:dyDescent="0.25">
      <c r="B37" s="41"/>
      <c r="C37" s="135"/>
      <c r="D37" s="115"/>
      <c r="E37" s="115"/>
      <c r="F37" s="115"/>
      <c r="G37" s="127"/>
      <c r="H37" s="127"/>
      <c r="I37" s="127"/>
      <c r="J37" s="145"/>
      <c r="K37" s="172"/>
      <c r="L37" s="27"/>
    </row>
    <row r="38" spans="2:12" s="34" customFormat="1" ht="13.5" customHeight="1" x14ac:dyDescent="0.25">
      <c r="B38" s="43"/>
      <c r="C38" s="141"/>
      <c r="D38" s="142" t="s">
        <v>212</v>
      </c>
      <c r="E38" s="142"/>
      <c r="F38" s="142"/>
      <c r="G38" s="179"/>
      <c r="H38" s="275">
        <v>0.59</v>
      </c>
      <c r="I38" s="154"/>
      <c r="J38" s="174">
        <f>+J36*(1+H38)</f>
        <v>7469.1044999999995</v>
      </c>
      <c r="K38" s="143"/>
      <c r="L38" s="30"/>
    </row>
    <row r="39" spans="2:12" ht="13.5" customHeight="1" x14ac:dyDescent="0.25">
      <c r="B39" s="41"/>
      <c r="C39" s="135"/>
      <c r="D39" s="180" t="s">
        <v>62</v>
      </c>
      <c r="E39" s="180"/>
      <c r="F39" s="180"/>
      <c r="G39" s="180"/>
      <c r="H39" s="180"/>
      <c r="I39" s="180"/>
      <c r="J39" s="181">
        <f>+J38/H$28</f>
        <v>1244.8507499999998</v>
      </c>
      <c r="K39" s="182"/>
      <c r="L39" s="27"/>
    </row>
    <row r="40" spans="2:12" ht="13.5" customHeight="1" x14ac:dyDescent="0.25">
      <c r="B40" s="41"/>
      <c r="C40" s="149"/>
      <c r="D40" s="150"/>
      <c r="E40" s="150"/>
      <c r="F40" s="150"/>
      <c r="G40" s="150"/>
      <c r="H40" s="150"/>
      <c r="I40" s="150"/>
      <c r="J40" s="183"/>
      <c r="K40" s="184"/>
      <c r="L40" s="27"/>
    </row>
    <row r="41" spans="2:12" ht="13.5" customHeight="1" x14ac:dyDescent="0.25">
      <c r="B41" s="41"/>
      <c r="C41" s="20"/>
      <c r="D41" s="20"/>
      <c r="E41" s="20"/>
      <c r="F41" s="20"/>
      <c r="G41" s="20"/>
      <c r="H41" s="20"/>
      <c r="I41" s="20"/>
      <c r="J41" s="44"/>
      <c r="K41" s="99"/>
      <c r="L41" s="27"/>
    </row>
    <row r="42" spans="2:12" ht="13.5" customHeight="1" x14ac:dyDescent="0.25">
      <c r="B42" s="41"/>
      <c r="C42" s="133"/>
      <c r="D42" s="185"/>
      <c r="E42" s="185"/>
      <c r="F42" s="185"/>
      <c r="G42" s="185"/>
      <c r="H42" s="185"/>
      <c r="I42" s="185"/>
      <c r="J42" s="186"/>
      <c r="K42" s="187"/>
      <c r="L42" s="27"/>
    </row>
    <row r="43" spans="2:12" ht="13.5" customHeight="1" x14ac:dyDescent="0.25">
      <c r="B43" s="41"/>
      <c r="C43" s="135"/>
      <c r="D43" s="126" t="s">
        <v>201</v>
      </c>
      <c r="E43" s="126"/>
      <c r="F43" s="126"/>
      <c r="G43" s="126"/>
      <c r="H43" s="126"/>
      <c r="I43" s="126"/>
      <c r="J43" s="188">
        <v>4.18</v>
      </c>
      <c r="K43" s="137"/>
      <c r="L43" s="27"/>
    </row>
    <row r="44" spans="2:12" ht="13.5" customHeight="1" x14ac:dyDescent="0.25">
      <c r="B44" s="41"/>
      <c r="C44" s="135"/>
      <c r="D44" s="126" t="s">
        <v>222</v>
      </c>
      <c r="E44" s="126"/>
      <c r="F44" s="126"/>
      <c r="G44" s="126"/>
      <c r="H44" s="126"/>
      <c r="I44" s="126"/>
      <c r="J44" s="126"/>
      <c r="K44" s="189"/>
      <c r="L44" s="27"/>
    </row>
    <row r="45" spans="2:12" ht="13.5" customHeight="1" x14ac:dyDescent="0.25">
      <c r="B45" s="41"/>
      <c r="C45" s="135"/>
      <c r="D45" s="126" t="s">
        <v>223</v>
      </c>
      <c r="E45" s="126"/>
      <c r="F45" s="126"/>
      <c r="G45" s="190"/>
      <c r="H45" s="191">
        <v>205</v>
      </c>
      <c r="I45" s="192" t="s">
        <v>184</v>
      </c>
      <c r="J45" s="192"/>
      <c r="K45" s="189"/>
      <c r="L45" s="27"/>
    </row>
    <row r="46" spans="2:12" ht="13.5" customHeight="1" x14ac:dyDescent="0.25">
      <c r="B46" s="41"/>
      <c r="C46" s="149"/>
      <c r="D46" s="193"/>
      <c r="E46" s="193"/>
      <c r="F46" s="193"/>
      <c r="G46" s="193"/>
      <c r="H46" s="193"/>
      <c r="I46" s="194"/>
      <c r="J46" s="194"/>
      <c r="K46" s="195"/>
      <c r="L46" s="27"/>
    </row>
    <row r="47" spans="2:12" ht="13.5" customHeight="1" x14ac:dyDescent="0.25">
      <c r="B47" s="41"/>
      <c r="C47" s="20"/>
      <c r="D47" s="20"/>
      <c r="E47" s="20"/>
      <c r="F47" s="20"/>
      <c r="G47" s="20"/>
      <c r="H47" s="20"/>
      <c r="I47" s="44"/>
      <c r="J47" s="20"/>
      <c r="K47" s="97"/>
      <c r="L47" s="27"/>
    </row>
    <row r="48" spans="2:12" ht="13.5" customHeight="1" x14ac:dyDescent="0.25">
      <c r="B48" s="41"/>
      <c r="C48" s="20"/>
      <c r="D48" s="20"/>
      <c r="E48" s="20"/>
      <c r="F48" s="20"/>
      <c r="G48" s="20"/>
      <c r="H48" s="20"/>
      <c r="I48" s="44"/>
      <c r="J48" s="20"/>
      <c r="K48" s="97"/>
      <c r="L48" s="27"/>
    </row>
    <row r="49" spans="1:12" ht="13.5" customHeight="1" x14ac:dyDescent="0.25">
      <c r="B49" s="41"/>
      <c r="C49" s="133"/>
      <c r="D49" s="109"/>
      <c r="E49" s="109"/>
      <c r="F49" s="109"/>
      <c r="G49" s="109"/>
      <c r="H49" s="109"/>
      <c r="I49" s="196"/>
      <c r="J49" s="109"/>
      <c r="K49" s="134"/>
      <c r="L49" s="27"/>
    </row>
    <row r="50" spans="1:12" s="34" customFormat="1" ht="13.5" customHeight="1" x14ac:dyDescent="0.25">
      <c r="A50" s="37"/>
      <c r="B50" s="45"/>
      <c r="C50" s="197"/>
      <c r="D50" s="136" t="s">
        <v>213</v>
      </c>
      <c r="E50" s="142"/>
      <c r="F50" s="142"/>
      <c r="G50" s="142"/>
      <c r="H50" s="142"/>
      <c r="I50" s="704"/>
      <c r="J50" s="705"/>
      <c r="K50" s="143"/>
      <c r="L50" s="30"/>
    </row>
    <row r="51" spans="1:12" ht="13.5" customHeight="1" x14ac:dyDescent="0.25">
      <c r="A51" s="35"/>
      <c r="B51" s="46"/>
      <c r="C51" s="198"/>
      <c r="D51" s="115"/>
      <c r="E51" s="115"/>
      <c r="F51" s="115"/>
      <c r="G51" s="115"/>
      <c r="H51" s="115"/>
      <c r="I51" s="200"/>
      <c r="J51" s="139"/>
      <c r="K51" s="137"/>
      <c r="L51" s="27"/>
    </row>
    <row r="52" spans="1:12" ht="13.5" customHeight="1" x14ac:dyDescent="0.25">
      <c r="B52" s="41"/>
      <c r="C52" s="135"/>
      <c r="D52" s="115" t="s">
        <v>132</v>
      </c>
      <c r="E52" s="115"/>
      <c r="F52" s="115"/>
      <c r="G52" s="115"/>
      <c r="H52" s="115"/>
      <c r="I52" s="199"/>
      <c r="J52" s="115"/>
      <c r="K52" s="137"/>
      <c r="L52" s="27"/>
    </row>
    <row r="53" spans="1:12" ht="13.5" customHeight="1" x14ac:dyDescent="0.25">
      <c r="B53" s="41"/>
      <c r="C53" s="135"/>
      <c r="D53" s="115" t="s">
        <v>133</v>
      </c>
      <c r="E53" s="115"/>
      <c r="F53" s="115"/>
      <c r="G53" s="201"/>
      <c r="H53" s="202">
        <v>600</v>
      </c>
      <c r="I53" s="203" t="s">
        <v>134</v>
      </c>
      <c r="J53" s="204"/>
      <c r="K53" s="137"/>
      <c r="L53" s="27"/>
    </row>
    <row r="54" spans="1:12" ht="13.5" customHeight="1" x14ac:dyDescent="0.25">
      <c r="B54" s="41"/>
      <c r="C54" s="135"/>
      <c r="D54" s="115" t="s">
        <v>135</v>
      </c>
      <c r="E54" s="115"/>
      <c r="F54" s="115"/>
      <c r="G54" s="205"/>
      <c r="H54" s="206">
        <v>0.73899999999999999</v>
      </c>
      <c r="I54" s="203" t="s">
        <v>134</v>
      </c>
      <c r="J54" s="204"/>
      <c r="K54" s="137"/>
      <c r="L54" s="27"/>
    </row>
    <row r="55" spans="1:12" ht="13.5" customHeight="1" x14ac:dyDescent="0.25">
      <c r="B55" s="41"/>
      <c r="C55" s="135"/>
      <c r="D55" s="115"/>
      <c r="E55" s="127"/>
      <c r="F55" s="127" t="s">
        <v>136</v>
      </c>
      <c r="G55" s="115"/>
      <c r="H55" s="127"/>
      <c r="I55" s="203"/>
      <c r="J55" s="204"/>
      <c r="K55" s="137"/>
      <c r="L55" s="27"/>
    </row>
    <row r="56" spans="1:12" ht="13.5" customHeight="1" x14ac:dyDescent="0.25">
      <c r="B56" s="41"/>
      <c r="C56" s="135"/>
      <c r="D56" s="115" t="s">
        <v>137</v>
      </c>
      <c r="E56" s="118">
        <v>20</v>
      </c>
      <c r="F56" s="118">
        <v>40</v>
      </c>
      <c r="G56" s="205"/>
      <c r="H56" s="207">
        <v>0.375</v>
      </c>
      <c r="I56" s="203" t="s">
        <v>138</v>
      </c>
      <c r="J56" s="204"/>
      <c r="K56" s="137"/>
      <c r="L56" s="27"/>
    </row>
    <row r="57" spans="1:12" ht="13.5" customHeight="1" x14ac:dyDescent="0.25">
      <c r="B57" s="41"/>
      <c r="C57" s="135"/>
      <c r="D57" s="115" t="s">
        <v>139</v>
      </c>
      <c r="E57" s="115"/>
      <c r="F57" s="115"/>
      <c r="G57" s="119"/>
      <c r="H57" s="208">
        <v>1.8</v>
      </c>
      <c r="I57" s="203" t="s">
        <v>221</v>
      </c>
      <c r="J57" s="204"/>
      <c r="K57" s="137"/>
      <c r="L57" s="27"/>
    </row>
    <row r="58" spans="1:12" ht="13.5" customHeight="1" x14ac:dyDescent="0.25">
      <c r="B58" s="41"/>
      <c r="C58" s="135"/>
      <c r="D58" s="115" t="s">
        <v>140</v>
      </c>
      <c r="E58" s="115"/>
      <c r="F58" s="115"/>
      <c r="G58" s="209"/>
      <c r="H58" s="210">
        <f>ROUND(H53*H54*H56*H57,0)</f>
        <v>299</v>
      </c>
      <c r="I58" s="203"/>
      <c r="J58" s="204"/>
      <c r="K58" s="137"/>
      <c r="L58" s="27"/>
    </row>
    <row r="59" spans="1:12" ht="13.5" customHeight="1" x14ac:dyDescent="0.25">
      <c r="B59" s="41"/>
      <c r="C59" s="135"/>
      <c r="D59" s="115" t="s">
        <v>141</v>
      </c>
      <c r="E59" s="115"/>
      <c r="F59" s="115"/>
      <c r="G59" s="205"/>
      <c r="H59" s="206">
        <v>1</v>
      </c>
      <c r="I59" s="203" t="s">
        <v>142</v>
      </c>
      <c r="J59" s="204"/>
      <c r="K59" s="137"/>
      <c r="L59" s="27"/>
    </row>
    <row r="60" spans="1:12" ht="13.5" customHeight="1" x14ac:dyDescent="0.25">
      <c r="B60" s="41"/>
      <c r="C60" s="135"/>
      <c r="D60" s="115" t="s">
        <v>143</v>
      </c>
      <c r="E60" s="115"/>
      <c r="F60" s="115"/>
      <c r="G60" s="209"/>
      <c r="H60" s="210">
        <f>ROUND(H58*H59/(F56-E56),0)</f>
        <v>15</v>
      </c>
      <c r="I60" s="203"/>
      <c r="J60" s="204"/>
      <c r="K60" s="137"/>
      <c r="L60" s="27"/>
    </row>
    <row r="61" spans="1:12" ht="13.5" customHeight="1" x14ac:dyDescent="0.25">
      <c r="B61" s="41"/>
      <c r="C61" s="135"/>
      <c r="D61" s="115" t="s">
        <v>144</v>
      </c>
      <c r="E61" s="115"/>
      <c r="F61" s="115"/>
      <c r="G61" s="211"/>
      <c r="H61" s="212">
        <v>7025</v>
      </c>
      <c r="I61" s="203" t="s">
        <v>142</v>
      </c>
      <c r="J61" s="204"/>
      <c r="K61" s="137"/>
      <c r="L61" s="27"/>
    </row>
    <row r="62" spans="1:12" s="34" customFormat="1" ht="13.5" customHeight="1" x14ac:dyDescent="0.25">
      <c r="B62" s="43"/>
      <c r="C62" s="141"/>
      <c r="D62" s="142" t="s">
        <v>145</v>
      </c>
      <c r="E62" s="142"/>
      <c r="F62" s="142"/>
      <c r="G62" s="213"/>
      <c r="H62" s="214">
        <f>+H60*H61</f>
        <v>105375</v>
      </c>
      <c r="I62" s="215" t="s">
        <v>220</v>
      </c>
      <c r="J62" s="216"/>
      <c r="K62" s="143"/>
      <c r="L62" s="30"/>
    </row>
    <row r="63" spans="1:12" ht="13.5" customHeight="1" x14ac:dyDescent="0.25">
      <c r="B63" s="41"/>
      <c r="C63" s="149"/>
      <c r="D63" s="150"/>
      <c r="E63" s="150"/>
      <c r="F63" s="150"/>
      <c r="G63" s="150"/>
      <c r="H63" s="150"/>
      <c r="I63" s="217"/>
      <c r="J63" s="150"/>
      <c r="K63" s="152"/>
      <c r="L63" s="27"/>
    </row>
    <row r="64" spans="1:12" ht="13.5" customHeight="1" x14ac:dyDescent="0.25">
      <c r="B64" s="41"/>
      <c r="C64" s="20"/>
      <c r="D64" s="20"/>
      <c r="E64" s="20"/>
      <c r="F64" s="20"/>
      <c r="G64" s="20"/>
      <c r="H64" s="20"/>
      <c r="I64" s="44"/>
      <c r="J64" s="20"/>
      <c r="K64" s="97"/>
      <c r="L64" s="27"/>
    </row>
    <row r="65" spans="2:14" ht="13.5" customHeight="1" x14ac:dyDescent="0.25">
      <c r="B65" s="41"/>
      <c r="C65" s="20"/>
      <c r="D65" s="20"/>
      <c r="E65" s="20"/>
      <c r="F65" s="20"/>
      <c r="G65" s="20"/>
      <c r="H65" s="20"/>
      <c r="I65" s="44"/>
      <c r="J65" s="20"/>
      <c r="K65" s="97"/>
      <c r="L65" s="27"/>
    </row>
    <row r="66" spans="2:14" ht="13.5" customHeight="1" x14ac:dyDescent="0.25">
      <c r="B66" s="47"/>
      <c r="C66" s="48"/>
      <c r="D66" s="48"/>
      <c r="E66" s="48"/>
      <c r="F66" s="48"/>
      <c r="G66" s="48"/>
      <c r="H66" s="48"/>
      <c r="I66" s="84"/>
      <c r="J66" s="48"/>
      <c r="K66" s="11" t="s">
        <v>211</v>
      </c>
      <c r="L66" s="49"/>
    </row>
    <row r="67" spans="2:14" ht="13.5" customHeight="1" x14ac:dyDescent="0.25">
      <c r="I67" s="85"/>
    </row>
    <row r="68" spans="2:14" ht="13.5" customHeight="1" x14ac:dyDescent="0.25">
      <c r="I68" s="85"/>
    </row>
    <row r="69" spans="2:14" ht="13.5" customHeight="1" x14ac:dyDescent="0.25">
      <c r="I69" s="85"/>
    </row>
    <row r="70" spans="2:14" ht="13.5" customHeight="1" x14ac:dyDescent="0.25">
      <c r="I70" s="85"/>
    </row>
    <row r="71" spans="2:14" ht="13.5" customHeight="1" x14ac:dyDescent="0.25">
      <c r="I71" s="85"/>
      <c r="N71" s="94" t="s">
        <v>86</v>
      </c>
    </row>
    <row r="72" spans="2:14" ht="13.5" customHeight="1" x14ac:dyDescent="0.25">
      <c r="I72" s="85"/>
      <c r="N72" s="94" t="s">
        <v>79</v>
      </c>
    </row>
    <row r="73" spans="2:14" ht="13.5" customHeight="1" x14ac:dyDescent="0.25">
      <c r="I73" s="85"/>
      <c r="N73" s="94" t="s">
        <v>80</v>
      </c>
    </row>
    <row r="74" spans="2:14" ht="13.5" customHeight="1" x14ac:dyDescent="0.25">
      <c r="I74" s="85"/>
      <c r="N74" s="94" t="s">
        <v>81</v>
      </c>
    </row>
    <row r="75" spans="2:14" ht="13.5" customHeight="1" x14ac:dyDescent="0.25">
      <c r="I75" s="85"/>
      <c r="N75" s="94" t="s">
        <v>82</v>
      </c>
    </row>
    <row r="76" spans="2:14" ht="13.5" customHeight="1" x14ac:dyDescent="0.25">
      <c r="I76" s="85"/>
      <c r="N76" s="94" t="s">
        <v>83</v>
      </c>
    </row>
    <row r="77" spans="2:14" ht="13.5" customHeight="1" x14ac:dyDescent="0.25">
      <c r="I77" s="85"/>
      <c r="N77" s="94" t="s">
        <v>84</v>
      </c>
    </row>
    <row r="78" spans="2:14" ht="13.5" customHeight="1" x14ac:dyDescent="0.25">
      <c r="I78" s="85"/>
      <c r="N78" s="94" t="s">
        <v>85</v>
      </c>
    </row>
    <row r="79" spans="2:14" ht="13.5" customHeight="1" x14ac:dyDescent="0.25">
      <c r="I79" s="85"/>
      <c r="N79" s="95" t="s">
        <v>3</v>
      </c>
    </row>
    <row r="80" spans="2:14" ht="13.5" customHeight="1" x14ac:dyDescent="0.25">
      <c r="I80" s="85"/>
      <c r="N80" s="95" t="s">
        <v>4</v>
      </c>
    </row>
    <row r="81" spans="6:14" ht="13.5" customHeight="1" x14ac:dyDescent="0.25">
      <c r="I81" s="85"/>
      <c r="N81" s="95" t="s">
        <v>5</v>
      </c>
    </row>
    <row r="82" spans="6:14" ht="13.5" customHeight="1" x14ac:dyDescent="0.25">
      <c r="I82" s="85"/>
      <c r="N82" s="95" t="s">
        <v>6</v>
      </c>
    </row>
    <row r="83" spans="6:14" ht="13.5" customHeight="1" x14ac:dyDescent="0.25">
      <c r="I83" s="85"/>
      <c r="N83" s="95" t="s">
        <v>7</v>
      </c>
    </row>
    <row r="84" spans="6:14" ht="13.5" customHeight="1" x14ac:dyDescent="0.25">
      <c r="I84" s="85"/>
      <c r="N84" s="95" t="s">
        <v>8</v>
      </c>
    </row>
    <row r="85" spans="6:14" ht="13.5" customHeight="1" x14ac:dyDescent="0.25">
      <c r="I85" s="85"/>
      <c r="N85" s="95" t="s">
        <v>9</v>
      </c>
    </row>
    <row r="86" spans="6:14" ht="13.5" customHeight="1" x14ac:dyDescent="0.25">
      <c r="I86" s="85"/>
      <c r="N86" s="95" t="s">
        <v>10</v>
      </c>
    </row>
    <row r="87" spans="6:14" ht="13.5" customHeight="1" x14ac:dyDescent="0.25">
      <c r="I87" s="85"/>
      <c r="N87" s="95" t="s">
        <v>11</v>
      </c>
    </row>
    <row r="88" spans="6:14" ht="13.5" customHeight="1" x14ac:dyDescent="0.25">
      <c r="I88" s="85"/>
      <c r="N88" s="95" t="s">
        <v>12</v>
      </c>
    </row>
    <row r="89" spans="6:14" ht="13.5" customHeight="1" x14ac:dyDescent="0.25">
      <c r="I89" s="85"/>
      <c r="N89" s="95" t="s">
        <v>13</v>
      </c>
    </row>
    <row r="90" spans="6:14" ht="13.5" customHeight="1" x14ac:dyDescent="0.25">
      <c r="I90" s="85"/>
      <c r="N90" s="95" t="s">
        <v>14</v>
      </c>
    </row>
    <row r="91" spans="6:14" ht="13.5" customHeight="1" x14ac:dyDescent="0.25">
      <c r="I91" s="85"/>
      <c r="N91" s="95" t="s">
        <v>0</v>
      </c>
    </row>
    <row r="92" spans="6:14" ht="13.5" customHeight="1" x14ac:dyDescent="0.25">
      <c r="I92" s="85"/>
      <c r="N92" s="95" t="s">
        <v>15</v>
      </c>
    </row>
    <row r="93" spans="6:14" ht="13.5" customHeight="1" x14ac:dyDescent="0.25">
      <c r="I93" s="85"/>
      <c r="N93" s="95" t="s">
        <v>16</v>
      </c>
    </row>
    <row r="94" spans="6:14" ht="13.5" customHeight="1" x14ac:dyDescent="0.25">
      <c r="I94" s="85"/>
      <c r="N94" s="95" t="s">
        <v>17</v>
      </c>
    </row>
    <row r="95" spans="6:14" ht="13.5" customHeight="1" x14ac:dyDescent="0.25">
      <c r="I95" s="85"/>
      <c r="N95" s="95" t="s">
        <v>18</v>
      </c>
    </row>
    <row r="96" spans="6:14" ht="13.5" customHeight="1" x14ac:dyDescent="0.25">
      <c r="F96" s="91"/>
      <c r="G96" s="92"/>
      <c r="I96" s="85"/>
      <c r="N96" s="94">
        <v>1</v>
      </c>
    </row>
    <row r="97" spans="6:14" ht="13.5" customHeight="1" x14ac:dyDescent="0.25">
      <c r="F97" s="91"/>
      <c r="G97" s="92"/>
      <c r="I97" s="85"/>
      <c r="N97" s="94">
        <v>2</v>
      </c>
    </row>
    <row r="98" spans="6:14" ht="13.5" customHeight="1" x14ac:dyDescent="0.25">
      <c r="F98" s="91"/>
      <c r="G98" s="92"/>
      <c r="I98" s="85"/>
      <c r="N98" s="94">
        <v>3</v>
      </c>
    </row>
    <row r="99" spans="6:14" ht="13.5" customHeight="1" x14ac:dyDescent="0.25">
      <c r="F99" s="91"/>
      <c r="G99" s="92"/>
      <c r="I99" s="85"/>
      <c r="N99" s="94">
        <v>4</v>
      </c>
    </row>
    <row r="100" spans="6:14" ht="13.5" customHeight="1" x14ac:dyDescent="0.25">
      <c r="F100" s="90"/>
      <c r="G100" s="85"/>
      <c r="I100" s="85"/>
      <c r="N100" s="94">
        <v>5</v>
      </c>
    </row>
    <row r="101" spans="6:14" ht="13.5" customHeight="1" x14ac:dyDescent="0.25">
      <c r="F101" s="91"/>
      <c r="G101" s="85"/>
      <c r="I101" s="85"/>
      <c r="N101" s="94">
        <v>6</v>
      </c>
    </row>
    <row r="102" spans="6:14" ht="13.5" customHeight="1" x14ac:dyDescent="0.25">
      <c r="F102" s="76"/>
      <c r="I102" s="85"/>
      <c r="N102" s="94">
        <v>7</v>
      </c>
    </row>
    <row r="103" spans="6:14" ht="13.5" customHeight="1" x14ac:dyDescent="0.25">
      <c r="I103" s="85"/>
      <c r="N103" s="94">
        <v>8</v>
      </c>
    </row>
    <row r="104" spans="6:14" ht="13.5" customHeight="1" x14ac:dyDescent="0.25">
      <c r="I104" s="85"/>
      <c r="N104" s="94">
        <v>9</v>
      </c>
    </row>
    <row r="105" spans="6:14" ht="13.5" customHeight="1" x14ac:dyDescent="0.25">
      <c r="N105" s="94">
        <v>10</v>
      </c>
    </row>
    <row r="106" spans="6:14" ht="13.5" customHeight="1" x14ac:dyDescent="0.25">
      <c r="N106" s="94">
        <v>11</v>
      </c>
    </row>
    <row r="107" spans="6:14" ht="13.5" customHeight="1" x14ac:dyDescent="0.25">
      <c r="N107" s="94">
        <v>12</v>
      </c>
    </row>
    <row r="108" spans="6:14" ht="13.5" customHeight="1" x14ac:dyDescent="0.25">
      <c r="N108" s="94">
        <v>13</v>
      </c>
    </row>
    <row r="109" spans="6:14" ht="13.5" customHeight="1" x14ac:dyDescent="0.25">
      <c r="N109" s="94">
        <v>14</v>
      </c>
    </row>
    <row r="110" spans="6:14" ht="13.5" customHeight="1" x14ac:dyDescent="0.25">
      <c r="N110" s="94" t="s">
        <v>19</v>
      </c>
    </row>
    <row r="111" spans="6:14" ht="13.5" customHeight="1" x14ac:dyDescent="0.25">
      <c r="N111" s="94" t="s">
        <v>20</v>
      </c>
    </row>
    <row r="112" spans="6:14" ht="13.5" customHeight="1" x14ac:dyDescent="0.25">
      <c r="N112" s="94" t="s">
        <v>87</v>
      </c>
    </row>
    <row r="113" spans="14:14" ht="13.5" customHeight="1" x14ac:dyDescent="0.25">
      <c r="N113" s="94" t="s">
        <v>88</v>
      </c>
    </row>
    <row r="114" spans="14:14" ht="13.5" customHeight="1" x14ac:dyDescent="0.25">
      <c r="N114" s="94" t="s">
        <v>89</v>
      </c>
    </row>
  </sheetData>
  <sheetProtection password="DFB1" sheet="1"/>
  <mergeCells count="1">
    <mergeCell ref="I50:J50"/>
  </mergeCells>
  <phoneticPr fontId="0" type="noConversion"/>
  <dataValidations count="3">
    <dataValidation type="list" allowBlank="1" showInputMessage="1" showErrorMessage="1" sqref="G13 G23">
      <formula1>#REF!</formula1>
    </dataValidation>
    <dataValidation type="list" allowBlank="1" showInputMessage="1" showErrorMessage="1" sqref="H23">
      <formula1>"ja, nee"</formula1>
    </dataValidation>
    <dataValidation type="list" allowBlank="1" showInputMessage="1" showErrorMessage="1" sqref="H13">
      <formula1>$N$71:$N$114</formula1>
    </dataValidation>
  </dataValidations>
  <printOptions gridLines="1"/>
  <pageMargins left="0.74803149606299213" right="0.74803149606299213" top="0.98425196850393704" bottom="0.98425196850393704" header="0.51181102362204722" footer="0.51181102362204722"/>
  <pageSetup paperSize="9" scale="65" orientation="portrait"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O105"/>
  <sheetViews>
    <sheetView zoomScale="85" zoomScaleNormal="85" workbookViewId="0">
      <selection activeCell="B2" sqref="B2"/>
    </sheetView>
  </sheetViews>
  <sheetFormatPr defaultColWidth="9.7109375" defaultRowHeight="13.5" customHeight="1" x14ac:dyDescent="0.25"/>
  <cols>
    <col min="1" max="1" width="3.7109375" style="1" customWidth="1"/>
    <col min="2" max="3" width="2.7109375" style="1" customWidth="1"/>
    <col min="4" max="4" width="45.7109375" style="1" customWidth="1"/>
    <col min="5" max="5" width="2.7109375" style="1" customWidth="1"/>
    <col min="6" max="6" width="14.7109375" style="7" customWidth="1"/>
    <col min="7" max="8" width="14.7109375" style="1" customWidth="1"/>
    <col min="9" max="10" width="2.7109375" style="1" customWidth="1"/>
    <col min="11" max="11" width="10.7109375" style="1" customWidth="1"/>
    <col min="12" max="12" width="6.140625" style="1" customWidth="1"/>
    <col min="13" max="13" width="8.140625" style="1" customWidth="1"/>
    <col min="14" max="14" width="2.42578125" style="1" customWidth="1"/>
    <col min="15" max="15" width="6.7109375" style="1" customWidth="1"/>
    <col min="16" max="16" width="10.7109375" style="1" customWidth="1"/>
    <col min="17" max="17" width="2.7109375" style="1" customWidth="1"/>
    <col min="18" max="19" width="10.7109375" style="1" customWidth="1"/>
    <col min="20" max="20" width="2.140625" style="1" customWidth="1"/>
    <col min="21" max="21" width="10.7109375" style="1" customWidth="1"/>
    <col min="22" max="22" width="1.85546875" style="1" customWidth="1"/>
    <col min="23" max="23" width="2.85546875" style="1" customWidth="1"/>
    <col min="24" max="25" width="10.7109375" style="1" customWidth="1"/>
    <col min="26" max="16384" width="9.7109375" style="1"/>
  </cols>
  <sheetData>
    <row r="2" spans="2:41" ht="13.5" customHeight="1" x14ac:dyDescent="0.25">
      <c r="B2" s="12"/>
      <c r="C2" s="13"/>
      <c r="D2" s="13"/>
      <c r="E2" s="13"/>
      <c r="F2" s="14"/>
      <c r="G2" s="13"/>
      <c r="H2" s="13"/>
      <c r="I2" s="13"/>
      <c r="J2" s="15"/>
      <c r="K2" s="31"/>
      <c r="L2" s="261" t="s">
        <v>229</v>
      </c>
      <c r="M2" s="262"/>
      <c r="N2" s="262"/>
      <c r="O2" s="262"/>
      <c r="P2" s="262"/>
      <c r="Q2" s="262"/>
      <c r="R2" s="262"/>
      <c r="S2" s="262"/>
      <c r="T2" s="262"/>
      <c r="U2" s="262"/>
      <c r="V2" s="262"/>
      <c r="W2" s="263"/>
      <c r="X2" s="31"/>
      <c r="Y2" s="272" t="s">
        <v>86</v>
      </c>
    </row>
    <row r="3" spans="2:41" ht="13.5" customHeight="1" x14ac:dyDescent="0.25">
      <c r="B3" s="16"/>
      <c r="C3" s="17"/>
      <c r="D3" s="17"/>
      <c r="E3" s="17"/>
      <c r="F3" s="18"/>
      <c r="G3" s="17"/>
      <c r="H3" s="17"/>
      <c r="I3" s="17"/>
      <c r="J3" s="19"/>
      <c r="K3" s="31"/>
      <c r="L3" s="264" t="s">
        <v>158</v>
      </c>
      <c r="M3" s="265"/>
      <c r="N3" s="265"/>
      <c r="O3" s="265" t="s">
        <v>159</v>
      </c>
      <c r="P3" s="265"/>
      <c r="Q3" s="265"/>
      <c r="R3" s="265"/>
      <c r="S3" s="265"/>
      <c r="T3" s="265"/>
      <c r="U3" s="265" t="s">
        <v>30</v>
      </c>
      <c r="V3" s="265"/>
      <c r="W3" s="266"/>
      <c r="X3" s="31"/>
      <c r="Y3" s="272" t="s">
        <v>79</v>
      </c>
    </row>
    <row r="4" spans="2:41" s="70" customFormat="1" ht="18" customHeight="1" x14ac:dyDescent="0.3">
      <c r="B4" s="67"/>
      <c r="C4" s="60" t="s">
        <v>226</v>
      </c>
      <c r="D4" s="68"/>
      <c r="E4" s="68"/>
      <c r="F4" s="62" t="str">
        <f>tabellen!B2</f>
        <v>2017/2018</v>
      </c>
      <c r="G4" s="61"/>
      <c r="H4" s="68"/>
      <c r="I4" s="68"/>
      <c r="J4" s="69"/>
      <c r="K4" s="255"/>
      <c r="L4" s="264" t="str">
        <f t="shared" ref="L4:L49" si="0">+$F$30</f>
        <v>LB</v>
      </c>
      <c r="M4" s="265">
        <f>+$F$31+W4</f>
        <v>12</v>
      </c>
      <c r="N4" s="265"/>
      <c r="O4" s="265" t="str">
        <f t="shared" ref="O4:O49" si="1">+$F$16</f>
        <v>LA</v>
      </c>
      <c r="P4" s="265">
        <f>+$F$17+W4</f>
        <v>14</v>
      </c>
      <c r="Q4" s="265"/>
      <c r="R4" s="267">
        <f t="shared" ref="R4:R49" si="2">IF(W4+1&gt;$F$45,0,IF(M4&gt;$H$31,VLOOKUP($L4,salaristabellen,$H$31+1,FALSE),VLOOKUP($L4,salaristabellen,M4+1,FALSE))*12*(1+F$43))</f>
        <v>66341.159999999989</v>
      </c>
      <c r="S4" s="267">
        <f t="shared" ref="S4:S49" si="3">IF(W4+1&gt;$F$45,0,IF(P4&gt;$H$17,VLOOKUP($O4,salaristabellen,$H$17+1,FALSE),VLOOKUP($O4,salaristabellen,P4+1,FALSE))*12*(1+F$43))</f>
        <v>64891.079999999994</v>
      </c>
      <c r="T4" s="265"/>
      <c r="U4" s="267">
        <f t="shared" ref="U4:U49" si="4">+R4-S4</f>
        <v>1450.0799999999945</v>
      </c>
      <c r="V4" s="265"/>
      <c r="W4" s="266">
        <v>0</v>
      </c>
      <c r="X4" s="255"/>
      <c r="Y4" s="272" t="s">
        <v>80</v>
      </c>
      <c r="AF4" s="71"/>
      <c r="AG4" s="71"/>
      <c r="AH4" s="71"/>
      <c r="AI4" s="71"/>
      <c r="AJ4" s="71"/>
      <c r="AK4" s="71"/>
      <c r="AL4" s="71"/>
      <c r="AM4" s="71"/>
      <c r="AN4" s="71"/>
      <c r="AO4" s="71"/>
    </row>
    <row r="5" spans="2:41" s="50" customFormat="1" ht="13.5" customHeight="1" x14ac:dyDescent="0.25">
      <c r="B5" s="52"/>
      <c r="C5" s="53" t="s">
        <v>146</v>
      </c>
      <c r="D5" s="53"/>
      <c r="E5" s="53"/>
      <c r="F5" s="55"/>
      <c r="G5" s="53"/>
      <c r="H5" s="53"/>
      <c r="I5" s="53"/>
      <c r="J5" s="54"/>
      <c r="K5" s="256"/>
      <c r="L5" s="264" t="str">
        <f t="shared" si="0"/>
        <v>LB</v>
      </c>
      <c r="M5" s="265">
        <f t="shared" ref="M5:M49" si="5">+$F$31+W5</f>
        <v>13</v>
      </c>
      <c r="N5" s="265"/>
      <c r="O5" s="265" t="str">
        <f t="shared" si="1"/>
        <v>LA</v>
      </c>
      <c r="P5" s="265">
        <f t="shared" ref="P5:P49" si="6">+$F$17+W5</f>
        <v>15</v>
      </c>
      <c r="Q5" s="265"/>
      <c r="R5" s="267">
        <f t="shared" si="2"/>
        <v>68668.92</v>
      </c>
      <c r="S5" s="267">
        <f t="shared" si="3"/>
        <v>66436.56</v>
      </c>
      <c r="T5" s="265"/>
      <c r="U5" s="267">
        <f t="shared" si="4"/>
        <v>2232.3600000000006</v>
      </c>
      <c r="V5" s="265"/>
      <c r="W5" s="266">
        <v>1</v>
      </c>
      <c r="X5" s="256"/>
      <c r="Y5" s="272" t="s">
        <v>81</v>
      </c>
      <c r="AF5" s="51"/>
      <c r="AG5" s="51"/>
      <c r="AH5" s="51"/>
      <c r="AI5" s="51"/>
      <c r="AJ5" s="51"/>
      <c r="AK5" s="51"/>
      <c r="AL5" s="51"/>
      <c r="AM5" s="51"/>
      <c r="AN5" s="51"/>
      <c r="AO5" s="51"/>
    </row>
    <row r="6" spans="2:41" ht="13.5" customHeight="1" x14ac:dyDescent="0.25">
      <c r="B6" s="16"/>
      <c r="C6" s="276" t="s">
        <v>239</v>
      </c>
      <c r="D6" s="28"/>
      <c r="E6" s="17"/>
      <c r="F6" s="18"/>
      <c r="G6" s="17"/>
      <c r="H6" s="17"/>
      <c r="I6" s="17"/>
      <c r="J6" s="19"/>
      <c r="K6" s="31"/>
      <c r="L6" s="264" t="str">
        <f t="shared" si="0"/>
        <v>LB</v>
      </c>
      <c r="M6" s="265">
        <f t="shared" si="5"/>
        <v>14</v>
      </c>
      <c r="N6" s="265"/>
      <c r="O6" s="265" t="str">
        <f t="shared" si="1"/>
        <v>LA</v>
      </c>
      <c r="P6" s="265">
        <f t="shared" si="6"/>
        <v>16</v>
      </c>
      <c r="Q6" s="265"/>
      <c r="R6" s="267">
        <f t="shared" si="2"/>
        <v>71111.159999999989</v>
      </c>
      <c r="S6" s="267">
        <f t="shared" si="3"/>
        <v>66436.56</v>
      </c>
      <c r="T6" s="265"/>
      <c r="U6" s="267">
        <f t="shared" si="4"/>
        <v>4674.5999999999913</v>
      </c>
      <c r="V6" s="265"/>
      <c r="W6" s="266">
        <v>2</v>
      </c>
      <c r="X6" s="31"/>
      <c r="Y6" s="272" t="s">
        <v>82</v>
      </c>
      <c r="AF6" s="3"/>
      <c r="AG6" s="3"/>
      <c r="AH6" s="3"/>
      <c r="AI6" s="3"/>
      <c r="AJ6" s="3"/>
      <c r="AK6" s="3"/>
      <c r="AL6" s="3"/>
      <c r="AM6" s="3"/>
      <c r="AN6" s="3"/>
      <c r="AO6" s="3"/>
    </row>
    <row r="7" spans="2:41" ht="13.5" customHeight="1" x14ac:dyDescent="0.25">
      <c r="B7" s="16"/>
      <c r="C7" s="17"/>
      <c r="D7" s="28"/>
      <c r="E7" s="17"/>
      <c r="F7" s="18"/>
      <c r="G7" s="17"/>
      <c r="H7" s="17"/>
      <c r="I7" s="17"/>
      <c r="J7" s="19"/>
      <c r="K7" s="31"/>
      <c r="L7" s="264" t="str">
        <f t="shared" si="0"/>
        <v>LB</v>
      </c>
      <c r="M7" s="265">
        <f t="shared" si="5"/>
        <v>15</v>
      </c>
      <c r="N7" s="265"/>
      <c r="O7" s="265" t="str">
        <f t="shared" si="1"/>
        <v>LA</v>
      </c>
      <c r="P7" s="265">
        <f t="shared" si="6"/>
        <v>17</v>
      </c>
      <c r="Q7" s="265"/>
      <c r="R7" s="267">
        <f t="shared" si="2"/>
        <v>73000.079999999987</v>
      </c>
      <c r="S7" s="267">
        <f t="shared" si="3"/>
        <v>66436.56</v>
      </c>
      <c r="T7" s="265"/>
      <c r="U7" s="267">
        <f t="shared" si="4"/>
        <v>6563.5199999999895</v>
      </c>
      <c r="V7" s="265"/>
      <c r="W7" s="266">
        <v>3</v>
      </c>
      <c r="X7" s="31"/>
      <c r="Y7" s="272" t="s">
        <v>83</v>
      </c>
      <c r="AF7" s="3"/>
      <c r="AG7" s="3"/>
      <c r="AH7" s="3"/>
      <c r="AI7" s="3"/>
      <c r="AJ7" s="3"/>
      <c r="AK7" s="3"/>
      <c r="AL7" s="3"/>
      <c r="AM7" s="3"/>
      <c r="AN7" s="3"/>
      <c r="AO7" s="3"/>
    </row>
    <row r="8" spans="2:41" ht="13.5" customHeight="1" x14ac:dyDescent="0.25">
      <c r="B8" s="16"/>
      <c r="C8" s="21"/>
      <c r="D8" s="24"/>
      <c r="E8" s="21"/>
      <c r="F8" s="22"/>
      <c r="G8" s="21"/>
      <c r="H8" s="21"/>
      <c r="I8" s="21"/>
      <c r="J8" s="19"/>
      <c r="K8" s="31"/>
      <c r="L8" s="264" t="str">
        <f t="shared" si="0"/>
        <v>LB</v>
      </c>
      <c r="M8" s="265">
        <f t="shared" si="5"/>
        <v>16</v>
      </c>
      <c r="N8" s="265"/>
      <c r="O8" s="265" t="str">
        <f t="shared" si="1"/>
        <v>LA</v>
      </c>
      <c r="P8" s="265">
        <f t="shared" si="6"/>
        <v>18</v>
      </c>
      <c r="Q8" s="265"/>
      <c r="R8" s="267">
        <f t="shared" si="2"/>
        <v>73000.079999999987</v>
      </c>
      <c r="S8" s="267">
        <f t="shared" si="3"/>
        <v>66436.56</v>
      </c>
      <c r="T8" s="265"/>
      <c r="U8" s="267">
        <f t="shared" si="4"/>
        <v>6563.5199999999895</v>
      </c>
      <c r="V8" s="265"/>
      <c r="W8" s="266">
        <v>4</v>
      </c>
      <c r="X8" s="31"/>
      <c r="Y8" s="272" t="s">
        <v>84</v>
      </c>
      <c r="AF8" s="3"/>
      <c r="AG8" s="3"/>
      <c r="AH8" s="3"/>
      <c r="AI8" s="3"/>
      <c r="AJ8" s="3"/>
      <c r="AK8" s="3"/>
      <c r="AL8" s="3"/>
      <c r="AM8" s="3"/>
      <c r="AN8" s="3"/>
      <c r="AO8" s="3"/>
    </row>
    <row r="9" spans="2:41" ht="13.5" customHeight="1" x14ac:dyDescent="0.25">
      <c r="B9" s="16"/>
      <c r="C9" s="21"/>
      <c r="D9" s="21" t="s">
        <v>117</v>
      </c>
      <c r="E9" s="21"/>
      <c r="F9" s="706" t="s">
        <v>32</v>
      </c>
      <c r="G9" s="706"/>
      <c r="H9" s="21"/>
      <c r="I9" s="21"/>
      <c r="J9" s="19"/>
      <c r="K9" s="31"/>
      <c r="L9" s="264" t="str">
        <f t="shared" si="0"/>
        <v>LB</v>
      </c>
      <c r="M9" s="265">
        <f t="shared" si="5"/>
        <v>17</v>
      </c>
      <c r="N9" s="265"/>
      <c r="O9" s="265" t="str">
        <f t="shared" si="1"/>
        <v>LA</v>
      </c>
      <c r="P9" s="265">
        <f t="shared" si="6"/>
        <v>19</v>
      </c>
      <c r="Q9" s="265"/>
      <c r="R9" s="267">
        <f t="shared" si="2"/>
        <v>73000.079999999987</v>
      </c>
      <c r="S9" s="267">
        <f t="shared" si="3"/>
        <v>66436.56</v>
      </c>
      <c r="T9" s="265"/>
      <c r="U9" s="267">
        <f t="shared" si="4"/>
        <v>6563.5199999999895</v>
      </c>
      <c r="V9" s="265"/>
      <c r="W9" s="266">
        <v>5</v>
      </c>
      <c r="X9" s="31"/>
      <c r="Y9" s="272" t="s">
        <v>85</v>
      </c>
      <c r="AF9" s="3"/>
      <c r="AG9" s="3"/>
      <c r="AH9" s="3"/>
      <c r="AI9" s="3"/>
      <c r="AJ9" s="3"/>
      <c r="AK9" s="3"/>
      <c r="AL9" s="3"/>
      <c r="AM9" s="3"/>
      <c r="AN9" s="3"/>
      <c r="AO9" s="3"/>
    </row>
    <row r="10" spans="2:41" ht="13.5" customHeight="1" x14ac:dyDescent="0.25">
      <c r="B10" s="16"/>
      <c r="C10" s="21"/>
      <c r="D10" s="21" t="s">
        <v>241</v>
      </c>
      <c r="E10" s="21"/>
      <c r="F10" s="277" t="s">
        <v>70</v>
      </c>
      <c r="G10" s="278"/>
      <c r="H10" s="21"/>
      <c r="I10" s="21"/>
      <c r="J10" s="19"/>
      <c r="K10" s="31"/>
      <c r="L10" s="264" t="str">
        <f t="shared" si="0"/>
        <v>LB</v>
      </c>
      <c r="M10" s="265">
        <f t="shared" si="5"/>
        <v>18</v>
      </c>
      <c r="N10" s="265"/>
      <c r="O10" s="265" t="str">
        <f t="shared" si="1"/>
        <v>LA</v>
      </c>
      <c r="P10" s="265">
        <f t="shared" si="6"/>
        <v>20</v>
      </c>
      <c r="Q10" s="265"/>
      <c r="R10" s="267">
        <f t="shared" si="2"/>
        <v>73000.079999999987</v>
      </c>
      <c r="S10" s="267">
        <f t="shared" si="3"/>
        <v>66436.56</v>
      </c>
      <c r="T10" s="265"/>
      <c r="U10" s="267">
        <f t="shared" si="4"/>
        <v>6563.5199999999895</v>
      </c>
      <c r="V10" s="265"/>
      <c r="W10" s="266">
        <v>6</v>
      </c>
      <c r="X10" s="31"/>
      <c r="Y10" s="272" t="s">
        <v>3</v>
      </c>
      <c r="AF10" s="3"/>
      <c r="AG10" s="3"/>
      <c r="AH10" s="3"/>
      <c r="AI10" s="3"/>
      <c r="AJ10" s="3"/>
      <c r="AK10" s="3"/>
      <c r="AL10" s="3"/>
      <c r="AM10" s="3"/>
      <c r="AN10" s="3"/>
      <c r="AO10" s="3"/>
    </row>
    <row r="11" spans="2:41" ht="13.5" customHeight="1" x14ac:dyDescent="0.25">
      <c r="B11" s="16"/>
      <c r="C11" s="21"/>
      <c r="D11" s="24"/>
      <c r="E11" s="21"/>
      <c r="F11" s="26"/>
      <c r="G11" s="42"/>
      <c r="H11" s="21"/>
      <c r="I11" s="21"/>
      <c r="J11" s="19"/>
      <c r="K11" s="31"/>
      <c r="L11" s="264" t="str">
        <f t="shared" si="0"/>
        <v>LB</v>
      </c>
      <c r="M11" s="265">
        <f t="shared" si="5"/>
        <v>19</v>
      </c>
      <c r="N11" s="265"/>
      <c r="O11" s="265" t="str">
        <f t="shared" si="1"/>
        <v>LA</v>
      </c>
      <c r="P11" s="265">
        <f t="shared" si="6"/>
        <v>21</v>
      </c>
      <c r="Q11" s="265"/>
      <c r="R11" s="267">
        <f t="shared" si="2"/>
        <v>73000.079999999987</v>
      </c>
      <c r="S11" s="267">
        <f t="shared" si="3"/>
        <v>66436.56</v>
      </c>
      <c r="T11" s="265"/>
      <c r="U11" s="267">
        <f t="shared" si="4"/>
        <v>6563.5199999999895</v>
      </c>
      <c r="V11" s="265"/>
      <c r="W11" s="266">
        <v>7</v>
      </c>
      <c r="X11" s="31"/>
      <c r="Y11" s="272" t="s">
        <v>4</v>
      </c>
      <c r="AF11" s="3"/>
      <c r="AG11" s="3"/>
      <c r="AH11" s="3"/>
      <c r="AI11" s="3"/>
      <c r="AJ11" s="3"/>
      <c r="AK11" s="3"/>
      <c r="AL11" s="3"/>
      <c r="AM11" s="3"/>
      <c r="AN11" s="3"/>
      <c r="AO11" s="3"/>
    </row>
    <row r="12" spans="2:41" ht="13.5" customHeight="1" x14ac:dyDescent="0.25">
      <c r="B12" s="16"/>
      <c r="C12" s="17"/>
      <c r="D12" s="28"/>
      <c r="E12" s="17"/>
      <c r="F12" s="25"/>
      <c r="G12" s="57"/>
      <c r="H12" s="17"/>
      <c r="I12" s="17"/>
      <c r="J12" s="19"/>
      <c r="K12" s="31"/>
      <c r="L12" s="264" t="str">
        <f t="shared" si="0"/>
        <v>LB</v>
      </c>
      <c r="M12" s="265">
        <f t="shared" si="5"/>
        <v>20</v>
      </c>
      <c r="N12" s="265"/>
      <c r="O12" s="265" t="str">
        <f t="shared" si="1"/>
        <v>LA</v>
      </c>
      <c r="P12" s="265">
        <f t="shared" si="6"/>
        <v>22</v>
      </c>
      <c r="Q12" s="265"/>
      <c r="R12" s="267">
        <f t="shared" si="2"/>
        <v>73000.079999999987</v>
      </c>
      <c r="S12" s="267">
        <f t="shared" si="3"/>
        <v>66436.56</v>
      </c>
      <c r="T12" s="265"/>
      <c r="U12" s="267">
        <f t="shared" si="4"/>
        <v>6563.5199999999895</v>
      </c>
      <c r="V12" s="265"/>
      <c r="W12" s="266">
        <v>8</v>
      </c>
      <c r="X12" s="31"/>
      <c r="Y12" s="272" t="s">
        <v>5</v>
      </c>
      <c r="AF12" s="3"/>
      <c r="AG12" s="3"/>
      <c r="AH12" s="3"/>
      <c r="AI12" s="3"/>
      <c r="AJ12" s="3"/>
      <c r="AK12" s="3"/>
      <c r="AL12" s="3"/>
      <c r="AM12" s="3"/>
      <c r="AN12" s="3"/>
      <c r="AO12" s="3"/>
    </row>
    <row r="13" spans="2:41" ht="13.5" customHeight="1" x14ac:dyDescent="0.25">
      <c r="B13" s="16"/>
      <c r="C13" s="106"/>
      <c r="D13" s="132"/>
      <c r="E13" s="107"/>
      <c r="F13" s="237"/>
      <c r="G13" s="238"/>
      <c r="H13" s="107"/>
      <c r="I13" s="110"/>
      <c r="J13" s="19"/>
      <c r="K13" s="31"/>
      <c r="L13" s="264" t="str">
        <f t="shared" si="0"/>
        <v>LB</v>
      </c>
      <c r="M13" s="265">
        <f t="shared" si="5"/>
        <v>21</v>
      </c>
      <c r="N13" s="265"/>
      <c r="O13" s="265" t="str">
        <f t="shared" si="1"/>
        <v>LA</v>
      </c>
      <c r="P13" s="265">
        <f t="shared" si="6"/>
        <v>23</v>
      </c>
      <c r="Q13" s="265"/>
      <c r="R13" s="267">
        <f t="shared" si="2"/>
        <v>73000.079999999987</v>
      </c>
      <c r="S13" s="267">
        <f t="shared" si="3"/>
        <v>66436.56</v>
      </c>
      <c r="T13" s="265"/>
      <c r="U13" s="267">
        <f t="shared" si="4"/>
        <v>6563.5199999999895</v>
      </c>
      <c r="V13" s="265"/>
      <c r="W13" s="266">
        <v>9</v>
      </c>
      <c r="X13" s="31"/>
      <c r="Y13" s="272" t="s">
        <v>6</v>
      </c>
      <c r="AF13" s="3"/>
      <c r="AG13" s="3"/>
      <c r="AH13" s="3"/>
      <c r="AI13" s="3"/>
      <c r="AJ13" s="3"/>
      <c r="AK13" s="3"/>
      <c r="AL13" s="3"/>
      <c r="AM13" s="3"/>
      <c r="AN13" s="3"/>
      <c r="AO13" s="3"/>
    </row>
    <row r="14" spans="2:41" ht="13.5" customHeight="1" x14ac:dyDescent="0.25">
      <c r="B14" s="16"/>
      <c r="C14" s="111"/>
      <c r="D14" s="112" t="s">
        <v>147</v>
      </c>
      <c r="E14" s="114"/>
      <c r="F14" s="127"/>
      <c r="G14" s="115"/>
      <c r="H14" s="114"/>
      <c r="I14" s="116"/>
      <c r="J14" s="19"/>
      <c r="K14" s="31"/>
      <c r="L14" s="264" t="str">
        <f t="shared" si="0"/>
        <v>LB</v>
      </c>
      <c r="M14" s="265">
        <f t="shared" si="5"/>
        <v>22</v>
      </c>
      <c r="N14" s="265"/>
      <c r="O14" s="265" t="str">
        <f t="shared" si="1"/>
        <v>LA</v>
      </c>
      <c r="P14" s="265">
        <f t="shared" si="6"/>
        <v>24</v>
      </c>
      <c r="Q14" s="265"/>
      <c r="R14" s="267">
        <f t="shared" si="2"/>
        <v>73000.079999999987</v>
      </c>
      <c r="S14" s="267">
        <f t="shared" si="3"/>
        <v>66436.56</v>
      </c>
      <c r="T14" s="265"/>
      <c r="U14" s="267">
        <f t="shared" si="4"/>
        <v>6563.5199999999895</v>
      </c>
      <c r="V14" s="265"/>
      <c r="W14" s="266">
        <v>10</v>
      </c>
      <c r="X14" s="31"/>
      <c r="Y14" s="272" t="s">
        <v>7</v>
      </c>
      <c r="AF14" s="3"/>
      <c r="AG14" s="3"/>
      <c r="AH14" s="3"/>
      <c r="AI14" s="3"/>
      <c r="AJ14" s="3"/>
      <c r="AK14" s="3"/>
      <c r="AL14" s="3"/>
      <c r="AM14" s="3"/>
      <c r="AN14" s="3"/>
      <c r="AO14" s="3"/>
    </row>
    <row r="15" spans="2:41" ht="13.5" customHeight="1" x14ac:dyDescent="0.25">
      <c r="B15" s="16"/>
      <c r="C15" s="111"/>
      <c r="D15" s="112"/>
      <c r="E15" s="114"/>
      <c r="F15" s="127"/>
      <c r="G15" s="115"/>
      <c r="H15" s="114"/>
      <c r="I15" s="116"/>
      <c r="J15" s="19"/>
      <c r="K15" s="31"/>
      <c r="L15" s="264" t="str">
        <f t="shared" si="0"/>
        <v>LB</v>
      </c>
      <c r="M15" s="265">
        <f t="shared" si="5"/>
        <v>23</v>
      </c>
      <c r="N15" s="265"/>
      <c r="O15" s="265" t="str">
        <f t="shared" si="1"/>
        <v>LA</v>
      </c>
      <c r="P15" s="265">
        <f t="shared" si="6"/>
        <v>25</v>
      </c>
      <c r="Q15" s="265"/>
      <c r="R15" s="267">
        <f t="shared" si="2"/>
        <v>73000.079999999987</v>
      </c>
      <c r="S15" s="267">
        <f t="shared" si="3"/>
        <v>66436.56</v>
      </c>
      <c r="T15" s="265"/>
      <c r="U15" s="267">
        <f t="shared" si="4"/>
        <v>6563.5199999999895</v>
      </c>
      <c r="V15" s="265"/>
      <c r="W15" s="266">
        <v>11</v>
      </c>
      <c r="X15" s="31"/>
      <c r="Y15" s="272" t="s">
        <v>8</v>
      </c>
      <c r="AF15" s="3"/>
      <c r="AG15" s="3"/>
      <c r="AH15" s="3"/>
      <c r="AI15" s="3"/>
      <c r="AJ15" s="3"/>
      <c r="AK15" s="3"/>
      <c r="AL15" s="3"/>
      <c r="AM15" s="3"/>
      <c r="AN15" s="3"/>
      <c r="AO15" s="3"/>
    </row>
    <row r="16" spans="2:41" ht="13.5" customHeight="1" x14ac:dyDescent="0.25">
      <c r="B16" s="16"/>
      <c r="C16" s="111"/>
      <c r="D16" s="114" t="s">
        <v>21</v>
      </c>
      <c r="E16" s="114"/>
      <c r="F16" s="239" t="s">
        <v>0</v>
      </c>
      <c r="G16" s="114"/>
      <c r="H16" s="114"/>
      <c r="I16" s="116"/>
      <c r="J16" s="19"/>
      <c r="K16" s="31"/>
      <c r="L16" s="264" t="str">
        <f t="shared" si="0"/>
        <v>LB</v>
      </c>
      <c r="M16" s="265">
        <f t="shared" si="5"/>
        <v>24</v>
      </c>
      <c r="N16" s="265"/>
      <c r="O16" s="265" t="str">
        <f t="shared" si="1"/>
        <v>LA</v>
      </c>
      <c r="P16" s="265">
        <f t="shared" si="6"/>
        <v>26</v>
      </c>
      <c r="Q16" s="265"/>
      <c r="R16" s="267">
        <f t="shared" si="2"/>
        <v>73000.079999999987</v>
      </c>
      <c r="S16" s="267">
        <f t="shared" si="3"/>
        <v>66436.56</v>
      </c>
      <c r="T16" s="265"/>
      <c r="U16" s="267">
        <f t="shared" si="4"/>
        <v>6563.5199999999895</v>
      </c>
      <c r="V16" s="265"/>
      <c r="W16" s="266">
        <v>12</v>
      </c>
      <c r="X16" s="31"/>
      <c r="Y16" s="272" t="s">
        <v>9</v>
      </c>
      <c r="AF16" s="3"/>
      <c r="AG16" s="3"/>
      <c r="AH16" s="3"/>
      <c r="AI16" s="3"/>
      <c r="AJ16" s="3"/>
      <c r="AK16" s="3"/>
      <c r="AL16" s="3"/>
      <c r="AM16" s="3"/>
      <c r="AN16" s="3"/>
      <c r="AO16" s="3"/>
    </row>
    <row r="17" spans="2:41" ht="13.5" customHeight="1" x14ac:dyDescent="0.25">
      <c r="B17" s="16"/>
      <c r="C17" s="111"/>
      <c r="D17" s="114" t="s">
        <v>22</v>
      </c>
      <c r="E17" s="114"/>
      <c r="F17" s="118">
        <v>14</v>
      </c>
      <c r="G17" s="218" t="s">
        <v>148</v>
      </c>
      <c r="H17" s="219">
        <f>VLOOKUP(F$16,salaristabellen,22,FALSE)</f>
        <v>15</v>
      </c>
      <c r="I17" s="116"/>
      <c r="J17" s="19"/>
      <c r="K17" s="31"/>
      <c r="L17" s="264" t="str">
        <f t="shared" si="0"/>
        <v>LB</v>
      </c>
      <c r="M17" s="265">
        <f t="shared" si="5"/>
        <v>25</v>
      </c>
      <c r="N17" s="265"/>
      <c r="O17" s="265" t="str">
        <f t="shared" si="1"/>
        <v>LA</v>
      </c>
      <c r="P17" s="265">
        <f t="shared" si="6"/>
        <v>27</v>
      </c>
      <c r="Q17" s="265"/>
      <c r="R17" s="267">
        <f t="shared" si="2"/>
        <v>73000.079999999987</v>
      </c>
      <c r="S17" s="267">
        <f t="shared" si="3"/>
        <v>66436.56</v>
      </c>
      <c r="T17" s="265"/>
      <c r="U17" s="267">
        <f t="shared" si="4"/>
        <v>6563.5199999999895</v>
      </c>
      <c r="V17" s="265"/>
      <c r="W17" s="266">
        <v>13</v>
      </c>
      <c r="X17" s="31"/>
      <c r="Y17" s="272" t="s">
        <v>10</v>
      </c>
      <c r="AF17" s="3"/>
      <c r="AG17" s="3"/>
      <c r="AH17" s="3"/>
      <c r="AI17" s="3"/>
      <c r="AJ17" s="3"/>
      <c r="AK17" s="3"/>
      <c r="AL17" s="3"/>
      <c r="AM17" s="3"/>
      <c r="AN17" s="3"/>
      <c r="AO17" s="3"/>
    </row>
    <row r="18" spans="2:41" ht="13.5" customHeight="1" x14ac:dyDescent="0.25">
      <c r="B18" s="16"/>
      <c r="C18" s="111"/>
      <c r="D18" s="114" t="s">
        <v>24</v>
      </c>
      <c r="E18" s="114"/>
      <c r="F18" s="240">
        <f>VLOOKUP(F16,salaristabellen,IF(F17&gt;15,16,F17+1),FALSE)</f>
        <v>3401</v>
      </c>
      <c r="G18" s="241"/>
      <c r="H18" s="242"/>
      <c r="I18" s="116"/>
      <c r="J18" s="19"/>
      <c r="K18" s="31"/>
      <c r="L18" s="264" t="str">
        <f t="shared" si="0"/>
        <v>LB</v>
      </c>
      <c r="M18" s="265">
        <f t="shared" si="5"/>
        <v>26</v>
      </c>
      <c r="N18" s="265"/>
      <c r="O18" s="265" t="str">
        <f t="shared" si="1"/>
        <v>LA</v>
      </c>
      <c r="P18" s="265">
        <f t="shared" si="6"/>
        <v>28</v>
      </c>
      <c r="Q18" s="265"/>
      <c r="R18" s="267">
        <f t="shared" si="2"/>
        <v>73000.079999999987</v>
      </c>
      <c r="S18" s="267">
        <f t="shared" si="3"/>
        <v>66436.56</v>
      </c>
      <c r="T18" s="265"/>
      <c r="U18" s="267">
        <f t="shared" si="4"/>
        <v>6563.5199999999895</v>
      </c>
      <c r="V18" s="265"/>
      <c r="W18" s="266">
        <v>14</v>
      </c>
      <c r="X18" s="31"/>
      <c r="Y18" s="272" t="s">
        <v>11</v>
      </c>
      <c r="AF18" s="3"/>
      <c r="AG18" s="3"/>
      <c r="AH18" s="3"/>
      <c r="AI18" s="3"/>
      <c r="AJ18" s="3"/>
      <c r="AK18" s="3"/>
      <c r="AL18" s="3"/>
      <c r="AM18" s="3"/>
      <c r="AN18" s="3"/>
      <c r="AO18" s="3"/>
    </row>
    <row r="19" spans="2:41" ht="13.5" customHeight="1" x14ac:dyDescent="0.25">
      <c r="B19" s="16"/>
      <c r="C19" s="111"/>
      <c r="D19" s="114" t="s">
        <v>242</v>
      </c>
      <c r="E19" s="114"/>
      <c r="F19" s="240">
        <f>IF(F17=H17,VLOOKUP(F10,bindingstoelage,3,FALSE),0)+IF(F17=H17,IF(F16="LA",tabellen!C74,IF(F16="LB",tabellen!C75,IF(F16="LC",tabellen!C76,IF(F16="LD",tabellen!C77,0)))),0)+IF(F17=H17,IF(OR(F16="LA",F16="LB"),tabellen!C79,0),0)</f>
        <v>0</v>
      </c>
      <c r="G19" s="241"/>
      <c r="H19" s="242"/>
      <c r="I19" s="116"/>
      <c r="J19" s="19"/>
      <c r="K19" s="31"/>
      <c r="L19" s="264" t="str">
        <f t="shared" si="0"/>
        <v>LB</v>
      </c>
      <c r="M19" s="265">
        <f t="shared" si="5"/>
        <v>27</v>
      </c>
      <c r="N19" s="265"/>
      <c r="O19" s="265" t="str">
        <f t="shared" si="1"/>
        <v>LA</v>
      </c>
      <c r="P19" s="265">
        <f t="shared" si="6"/>
        <v>29</v>
      </c>
      <c r="Q19" s="265"/>
      <c r="R19" s="267">
        <f t="shared" si="2"/>
        <v>73000.079999999987</v>
      </c>
      <c r="S19" s="267">
        <f t="shared" si="3"/>
        <v>66436.56</v>
      </c>
      <c r="T19" s="265"/>
      <c r="U19" s="267">
        <f t="shared" si="4"/>
        <v>6563.5199999999895</v>
      </c>
      <c r="V19" s="265"/>
      <c r="W19" s="266">
        <v>15</v>
      </c>
      <c r="X19" s="31"/>
      <c r="Y19" s="272" t="s">
        <v>12</v>
      </c>
      <c r="AF19" s="3"/>
      <c r="AG19" s="3"/>
      <c r="AH19" s="3"/>
      <c r="AI19" s="3"/>
      <c r="AJ19" s="3"/>
      <c r="AK19" s="3"/>
      <c r="AL19" s="3"/>
      <c r="AM19" s="3"/>
      <c r="AN19" s="3"/>
      <c r="AO19" s="3"/>
    </row>
    <row r="20" spans="2:41" ht="13.5" customHeight="1" x14ac:dyDescent="0.25">
      <c r="B20" s="16"/>
      <c r="C20" s="111"/>
      <c r="D20" s="120" t="s">
        <v>25</v>
      </c>
      <c r="E20" s="114"/>
      <c r="F20" s="220">
        <v>1</v>
      </c>
      <c r="G20" s="218"/>
      <c r="H20" s="219"/>
      <c r="I20" s="116"/>
      <c r="J20" s="19"/>
      <c r="K20" s="31"/>
      <c r="L20" s="264" t="str">
        <f t="shared" si="0"/>
        <v>LB</v>
      </c>
      <c r="M20" s="265">
        <f t="shared" si="5"/>
        <v>28</v>
      </c>
      <c r="N20" s="265"/>
      <c r="O20" s="265" t="str">
        <f t="shared" si="1"/>
        <v>LA</v>
      </c>
      <c r="P20" s="265">
        <f t="shared" si="6"/>
        <v>30</v>
      </c>
      <c r="Q20" s="265"/>
      <c r="R20" s="267">
        <f t="shared" si="2"/>
        <v>73000.079999999987</v>
      </c>
      <c r="S20" s="267">
        <f t="shared" si="3"/>
        <v>66436.56</v>
      </c>
      <c r="T20" s="265"/>
      <c r="U20" s="267">
        <f t="shared" si="4"/>
        <v>6563.5199999999895</v>
      </c>
      <c r="V20" s="265"/>
      <c r="W20" s="266">
        <v>16</v>
      </c>
      <c r="X20" s="31"/>
      <c r="Y20" s="272" t="s">
        <v>13</v>
      </c>
      <c r="AF20" s="3"/>
      <c r="AG20" s="3"/>
      <c r="AH20" s="3"/>
      <c r="AI20" s="3"/>
      <c r="AJ20" s="3"/>
      <c r="AK20" s="3"/>
      <c r="AL20" s="3"/>
      <c r="AM20" s="3"/>
      <c r="AN20" s="3"/>
      <c r="AO20" s="3"/>
    </row>
    <row r="21" spans="2:41" ht="13.5" customHeight="1" x14ac:dyDescent="0.25">
      <c r="B21" s="16"/>
      <c r="C21" s="111"/>
      <c r="D21" s="114" t="s">
        <v>26</v>
      </c>
      <c r="E21" s="114"/>
      <c r="F21" s="169">
        <f>ROUND(+(F18+F19)*F20,2)</f>
        <v>3401</v>
      </c>
      <c r="G21" s="218"/>
      <c r="H21" s="219"/>
      <c r="I21" s="116"/>
      <c r="J21" s="19"/>
      <c r="K21" s="31"/>
      <c r="L21" s="264" t="str">
        <f t="shared" si="0"/>
        <v>LB</v>
      </c>
      <c r="M21" s="265">
        <f t="shared" si="5"/>
        <v>29</v>
      </c>
      <c r="N21" s="265"/>
      <c r="O21" s="265" t="str">
        <f t="shared" si="1"/>
        <v>LA</v>
      </c>
      <c r="P21" s="265">
        <f t="shared" si="6"/>
        <v>31</v>
      </c>
      <c r="Q21" s="265"/>
      <c r="R21" s="267">
        <f t="shared" si="2"/>
        <v>73000.079999999987</v>
      </c>
      <c r="S21" s="267">
        <f t="shared" si="3"/>
        <v>66436.56</v>
      </c>
      <c r="T21" s="265"/>
      <c r="U21" s="267">
        <f t="shared" si="4"/>
        <v>6563.5199999999895</v>
      </c>
      <c r="V21" s="265"/>
      <c r="W21" s="266">
        <v>17</v>
      </c>
      <c r="X21" s="31"/>
      <c r="Y21" s="272" t="s">
        <v>14</v>
      </c>
      <c r="AF21" s="3"/>
      <c r="AG21" s="3"/>
      <c r="AH21" s="3"/>
      <c r="AI21" s="3"/>
      <c r="AJ21" s="3"/>
      <c r="AK21" s="3"/>
      <c r="AL21" s="3"/>
      <c r="AM21" s="3"/>
      <c r="AN21" s="3"/>
      <c r="AO21" s="3"/>
    </row>
    <row r="22" spans="2:41" ht="13.5" customHeight="1" x14ac:dyDescent="0.25">
      <c r="B22" s="16"/>
      <c r="C22" s="111"/>
      <c r="D22" s="114"/>
      <c r="E22" s="114"/>
      <c r="F22" s="167"/>
      <c r="G22" s="218"/>
      <c r="H22" s="219"/>
      <c r="I22" s="116"/>
      <c r="J22" s="19"/>
      <c r="K22" s="31"/>
      <c r="L22" s="264" t="str">
        <f t="shared" si="0"/>
        <v>LB</v>
      </c>
      <c r="M22" s="265">
        <f t="shared" si="5"/>
        <v>30</v>
      </c>
      <c r="N22" s="265"/>
      <c r="O22" s="265" t="str">
        <f t="shared" si="1"/>
        <v>LA</v>
      </c>
      <c r="P22" s="265">
        <f t="shared" si="6"/>
        <v>32</v>
      </c>
      <c r="Q22" s="265"/>
      <c r="R22" s="267">
        <f t="shared" si="2"/>
        <v>73000.079999999987</v>
      </c>
      <c r="S22" s="267">
        <f t="shared" si="3"/>
        <v>66436.56</v>
      </c>
      <c r="T22" s="265"/>
      <c r="U22" s="267">
        <f t="shared" si="4"/>
        <v>6563.5199999999895</v>
      </c>
      <c r="V22" s="265"/>
      <c r="W22" s="266">
        <v>18</v>
      </c>
      <c r="X22" s="31"/>
      <c r="Y22" s="272" t="s">
        <v>0</v>
      </c>
      <c r="AF22" s="3"/>
      <c r="AG22" s="3"/>
      <c r="AH22" s="3"/>
      <c r="AI22" s="3"/>
      <c r="AJ22" s="3"/>
      <c r="AK22" s="3"/>
      <c r="AL22" s="3"/>
      <c r="AM22" s="3"/>
      <c r="AN22" s="3"/>
      <c r="AO22" s="3"/>
    </row>
    <row r="23" spans="2:41" ht="13.5" customHeight="1" x14ac:dyDescent="0.25">
      <c r="B23" s="16"/>
      <c r="C23" s="111"/>
      <c r="D23" s="120" t="s">
        <v>149</v>
      </c>
      <c r="E23" s="114"/>
      <c r="F23" s="118">
        <v>45</v>
      </c>
      <c r="G23" s="218"/>
      <c r="H23" s="219"/>
      <c r="I23" s="116"/>
      <c r="J23" s="19"/>
      <c r="K23" s="31"/>
      <c r="L23" s="264" t="str">
        <f t="shared" si="0"/>
        <v>LB</v>
      </c>
      <c r="M23" s="265">
        <f t="shared" si="5"/>
        <v>31</v>
      </c>
      <c r="N23" s="265"/>
      <c r="O23" s="265" t="str">
        <f t="shared" si="1"/>
        <v>LA</v>
      </c>
      <c r="P23" s="265">
        <f t="shared" si="6"/>
        <v>33</v>
      </c>
      <c r="Q23" s="265"/>
      <c r="R23" s="267">
        <f t="shared" si="2"/>
        <v>73000.079999999987</v>
      </c>
      <c r="S23" s="267">
        <f t="shared" si="3"/>
        <v>66436.56</v>
      </c>
      <c r="T23" s="265"/>
      <c r="U23" s="267">
        <f t="shared" si="4"/>
        <v>6563.5199999999895</v>
      </c>
      <c r="V23" s="265"/>
      <c r="W23" s="266">
        <v>19</v>
      </c>
      <c r="X23" s="31"/>
      <c r="Y23" s="272" t="s">
        <v>15</v>
      </c>
      <c r="AF23" s="3"/>
      <c r="AG23" s="3"/>
      <c r="AH23" s="3"/>
      <c r="AI23" s="3"/>
      <c r="AJ23" s="3"/>
      <c r="AK23" s="3"/>
      <c r="AL23" s="3"/>
      <c r="AM23" s="3"/>
      <c r="AN23" s="3"/>
      <c r="AO23" s="3"/>
    </row>
    <row r="24" spans="2:41" ht="13.5" customHeight="1" x14ac:dyDescent="0.25">
      <c r="B24" s="16"/>
      <c r="C24" s="111"/>
      <c r="D24" s="114" t="s">
        <v>150</v>
      </c>
      <c r="E24" s="114"/>
      <c r="F24" s="118">
        <v>65</v>
      </c>
      <c r="G24" s="218"/>
      <c r="H24" s="219"/>
      <c r="I24" s="116"/>
      <c r="J24" s="19"/>
      <c r="K24" s="31"/>
      <c r="L24" s="264" t="str">
        <f t="shared" si="0"/>
        <v>LB</v>
      </c>
      <c r="M24" s="265">
        <f t="shared" si="5"/>
        <v>32</v>
      </c>
      <c r="N24" s="265"/>
      <c r="O24" s="265" t="str">
        <f t="shared" si="1"/>
        <v>LA</v>
      </c>
      <c r="P24" s="265">
        <f t="shared" si="6"/>
        <v>34</v>
      </c>
      <c r="Q24" s="265"/>
      <c r="R24" s="267">
        <f t="shared" si="2"/>
        <v>0</v>
      </c>
      <c r="S24" s="267">
        <f t="shared" si="3"/>
        <v>0</v>
      </c>
      <c r="T24" s="265"/>
      <c r="U24" s="267">
        <f t="shared" si="4"/>
        <v>0</v>
      </c>
      <c r="V24" s="265"/>
      <c r="W24" s="266">
        <v>20</v>
      </c>
      <c r="X24" s="31"/>
      <c r="Y24" s="272" t="s">
        <v>16</v>
      </c>
      <c r="AF24" s="3"/>
      <c r="AG24" s="3"/>
      <c r="AH24" s="3"/>
      <c r="AI24" s="3"/>
      <c r="AJ24" s="3"/>
      <c r="AK24" s="3"/>
      <c r="AL24" s="3"/>
      <c r="AM24" s="3"/>
      <c r="AN24" s="3"/>
      <c r="AO24" s="3"/>
    </row>
    <row r="25" spans="2:41" ht="13.5" customHeight="1" x14ac:dyDescent="0.25">
      <c r="B25" s="16"/>
      <c r="C25" s="128"/>
      <c r="D25" s="129"/>
      <c r="E25" s="129"/>
      <c r="F25" s="243"/>
      <c r="G25" s="244"/>
      <c r="H25" s="245"/>
      <c r="I25" s="131"/>
      <c r="J25" s="19"/>
      <c r="K25" s="31"/>
      <c r="L25" s="264" t="str">
        <f t="shared" si="0"/>
        <v>LB</v>
      </c>
      <c r="M25" s="265">
        <f t="shared" si="5"/>
        <v>33</v>
      </c>
      <c r="N25" s="265"/>
      <c r="O25" s="265" t="str">
        <f t="shared" si="1"/>
        <v>LA</v>
      </c>
      <c r="P25" s="265">
        <f t="shared" si="6"/>
        <v>35</v>
      </c>
      <c r="Q25" s="265"/>
      <c r="R25" s="267">
        <f t="shared" si="2"/>
        <v>0</v>
      </c>
      <c r="S25" s="267">
        <f t="shared" si="3"/>
        <v>0</v>
      </c>
      <c r="T25" s="265"/>
      <c r="U25" s="267">
        <f t="shared" si="4"/>
        <v>0</v>
      </c>
      <c r="V25" s="265"/>
      <c r="W25" s="266">
        <v>21</v>
      </c>
      <c r="X25" s="31"/>
      <c r="Y25" s="272" t="s">
        <v>17</v>
      </c>
      <c r="AF25" s="3"/>
      <c r="AG25" s="3"/>
      <c r="AH25" s="3"/>
      <c r="AI25" s="3"/>
      <c r="AJ25" s="3"/>
      <c r="AK25" s="3"/>
      <c r="AL25" s="3"/>
      <c r="AM25" s="3"/>
      <c r="AN25" s="3"/>
      <c r="AO25" s="3"/>
    </row>
    <row r="26" spans="2:41" ht="13.5" customHeight="1" x14ac:dyDescent="0.25">
      <c r="B26" s="16"/>
      <c r="C26" s="17"/>
      <c r="D26" s="17"/>
      <c r="E26" s="17"/>
      <c r="F26" s="25"/>
      <c r="G26" s="105"/>
      <c r="H26" s="104"/>
      <c r="I26" s="17"/>
      <c r="J26" s="19"/>
      <c r="K26" s="31"/>
      <c r="L26" s="264" t="str">
        <f t="shared" si="0"/>
        <v>LB</v>
      </c>
      <c r="M26" s="265">
        <f t="shared" si="5"/>
        <v>34</v>
      </c>
      <c r="N26" s="265"/>
      <c r="O26" s="265" t="str">
        <f t="shared" si="1"/>
        <v>LA</v>
      </c>
      <c r="P26" s="265">
        <f t="shared" si="6"/>
        <v>36</v>
      </c>
      <c r="Q26" s="265"/>
      <c r="R26" s="267">
        <f t="shared" si="2"/>
        <v>0</v>
      </c>
      <c r="S26" s="267">
        <f t="shared" si="3"/>
        <v>0</v>
      </c>
      <c r="T26" s="265"/>
      <c r="U26" s="267">
        <f t="shared" si="4"/>
        <v>0</v>
      </c>
      <c r="V26" s="265"/>
      <c r="W26" s="266">
        <v>22</v>
      </c>
      <c r="X26" s="31"/>
      <c r="Y26" s="272" t="s">
        <v>18</v>
      </c>
      <c r="AF26" s="3"/>
      <c r="AG26" s="3"/>
      <c r="AH26" s="3"/>
      <c r="AI26" s="3"/>
      <c r="AJ26" s="3"/>
      <c r="AK26" s="3"/>
      <c r="AL26" s="3"/>
      <c r="AM26" s="3"/>
      <c r="AN26" s="3"/>
      <c r="AO26" s="3"/>
    </row>
    <row r="27" spans="2:41" ht="13.5" customHeight="1" x14ac:dyDescent="0.25">
      <c r="B27" s="16"/>
      <c r="C27" s="106"/>
      <c r="D27" s="107"/>
      <c r="E27" s="107"/>
      <c r="F27" s="237"/>
      <c r="G27" s="246"/>
      <c r="H27" s="247"/>
      <c r="I27" s="110"/>
      <c r="J27" s="19"/>
      <c r="K27" s="31"/>
      <c r="L27" s="264" t="str">
        <f t="shared" si="0"/>
        <v>LB</v>
      </c>
      <c r="M27" s="265">
        <f t="shared" si="5"/>
        <v>35</v>
      </c>
      <c r="N27" s="265"/>
      <c r="O27" s="265" t="str">
        <f t="shared" si="1"/>
        <v>LA</v>
      </c>
      <c r="P27" s="265">
        <f t="shared" si="6"/>
        <v>37</v>
      </c>
      <c r="Q27" s="265"/>
      <c r="R27" s="267">
        <f t="shared" si="2"/>
        <v>0</v>
      </c>
      <c r="S27" s="267">
        <f t="shared" si="3"/>
        <v>0</v>
      </c>
      <c r="T27" s="265"/>
      <c r="U27" s="267">
        <f t="shared" si="4"/>
        <v>0</v>
      </c>
      <c r="V27" s="265"/>
      <c r="W27" s="266">
        <v>23</v>
      </c>
      <c r="X27" s="31"/>
      <c r="Y27" s="272" t="s">
        <v>19</v>
      </c>
      <c r="AF27" s="3"/>
      <c r="AG27" s="3"/>
      <c r="AH27" s="3"/>
      <c r="AI27" s="3"/>
      <c r="AJ27" s="3"/>
      <c r="AK27" s="3"/>
      <c r="AL27" s="3"/>
      <c r="AM27" s="3"/>
      <c r="AN27" s="3"/>
      <c r="AO27" s="3"/>
    </row>
    <row r="28" spans="2:41" ht="13.5" customHeight="1" x14ac:dyDescent="0.25">
      <c r="B28" s="16"/>
      <c r="C28" s="111"/>
      <c r="D28" s="112" t="s">
        <v>151</v>
      </c>
      <c r="E28" s="114"/>
      <c r="F28" s="113"/>
      <c r="G28" s="218"/>
      <c r="H28" s="219"/>
      <c r="I28" s="116"/>
      <c r="J28" s="19"/>
      <c r="K28" s="31"/>
      <c r="L28" s="264" t="str">
        <f t="shared" si="0"/>
        <v>LB</v>
      </c>
      <c r="M28" s="265">
        <f t="shared" si="5"/>
        <v>36</v>
      </c>
      <c r="N28" s="265"/>
      <c r="O28" s="265" t="str">
        <f t="shared" si="1"/>
        <v>LA</v>
      </c>
      <c r="P28" s="265">
        <f t="shared" si="6"/>
        <v>38</v>
      </c>
      <c r="Q28" s="265"/>
      <c r="R28" s="267">
        <f t="shared" si="2"/>
        <v>0</v>
      </c>
      <c r="S28" s="267">
        <f t="shared" si="3"/>
        <v>0</v>
      </c>
      <c r="T28" s="265"/>
      <c r="U28" s="267">
        <f t="shared" si="4"/>
        <v>0</v>
      </c>
      <c r="V28" s="265"/>
      <c r="W28" s="266">
        <v>24</v>
      </c>
      <c r="X28" s="31"/>
      <c r="Y28" s="272" t="s">
        <v>20</v>
      </c>
      <c r="AF28" s="3"/>
      <c r="AG28" s="3"/>
      <c r="AH28" s="3"/>
      <c r="AI28" s="3"/>
      <c r="AJ28" s="3"/>
      <c r="AK28" s="3"/>
      <c r="AL28" s="3"/>
      <c r="AM28" s="3"/>
      <c r="AN28" s="3"/>
      <c r="AO28" s="3"/>
    </row>
    <row r="29" spans="2:41" ht="13.5" customHeight="1" x14ac:dyDescent="0.25">
      <c r="B29" s="16"/>
      <c r="C29" s="111"/>
      <c r="D29" s="120"/>
      <c r="E29" s="114"/>
      <c r="F29" s="113"/>
      <c r="G29" s="218"/>
      <c r="H29" s="219"/>
      <c r="I29" s="116"/>
      <c r="J29" s="19"/>
      <c r="K29" s="31"/>
      <c r="L29" s="264" t="str">
        <f t="shared" si="0"/>
        <v>LB</v>
      </c>
      <c r="M29" s="265">
        <f t="shared" si="5"/>
        <v>37</v>
      </c>
      <c r="N29" s="265"/>
      <c r="O29" s="265" t="str">
        <f t="shared" si="1"/>
        <v>LA</v>
      </c>
      <c r="P29" s="265">
        <f t="shared" si="6"/>
        <v>39</v>
      </c>
      <c r="Q29" s="265"/>
      <c r="R29" s="267">
        <f t="shared" si="2"/>
        <v>0</v>
      </c>
      <c r="S29" s="267">
        <f t="shared" si="3"/>
        <v>0</v>
      </c>
      <c r="T29" s="265"/>
      <c r="U29" s="267">
        <f t="shared" si="4"/>
        <v>0</v>
      </c>
      <c r="V29" s="265"/>
      <c r="W29" s="266">
        <v>25</v>
      </c>
      <c r="X29" s="31"/>
      <c r="Y29" s="272">
        <v>1</v>
      </c>
      <c r="AF29" s="3"/>
      <c r="AG29" s="3"/>
      <c r="AH29" s="3"/>
      <c r="AI29" s="3"/>
      <c r="AJ29" s="3"/>
      <c r="AK29" s="3"/>
      <c r="AL29" s="3"/>
      <c r="AM29" s="3"/>
      <c r="AN29" s="3"/>
      <c r="AO29" s="3"/>
    </row>
    <row r="30" spans="2:41" ht="13.5" customHeight="1" x14ac:dyDescent="0.25">
      <c r="B30" s="16"/>
      <c r="C30" s="111"/>
      <c r="D30" s="114" t="s">
        <v>21</v>
      </c>
      <c r="E30" s="114"/>
      <c r="F30" s="239" t="s">
        <v>15</v>
      </c>
      <c r="G30" s="218"/>
      <c r="H30" s="219"/>
      <c r="I30" s="116"/>
      <c r="J30" s="19"/>
      <c r="K30" s="257"/>
      <c r="L30" s="264" t="str">
        <f t="shared" si="0"/>
        <v>LB</v>
      </c>
      <c r="M30" s="265">
        <f t="shared" si="5"/>
        <v>38</v>
      </c>
      <c r="N30" s="265"/>
      <c r="O30" s="265" t="str">
        <f t="shared" si="1"/>
        <v>LA</v>
      </c>
      <c r="P30" s="265">
        <f t="shared" si="6"/>
        <v>40</v>
      </c>
      <c r="Q30" s="265"/>
      <c r="R30" s="267">
        <f t="shared" si="2"/>
        <v>0</v>
      </c>
      <c r="S30" s="267">
        <f t="shared" si="3"/>
        <v>0</v>
      </c>
      <c r="T30" s="265"/>
      <c r="U30" s="267">
        <f t="shared" si="4"/>
        <v>0</v>
      </c>
      <c r="V30" s="265"/>
      <c r="W30" s="266">
        <v>26</v>
      </c>
      <c r="X30" s="257"/>
      <c r="Y30" s="272">
        <v>2</v>
      </c>
      <c r="Z30" s="3"/>
      <c r="AA30" s="3"/>
      <c r="AF30" s="3"/>
      <c r="AG30" s="3"/>
      <c r="AH30" s="3"/>
      <c r="AI30" s="3"/>
      <c r="AJ30" s="3"/>
      <c r="AK30" s="3"/>
      <c r="AL30" s="3"/>
      <c r="AM30" s="3"/>
      <c r="AN30" s="3"/>
      <c r="AO30" s="3"/>
    </row>
    <row r="31" spans="2:41" ht="13.5" customHeight="1" x14ac:dyDescent="0.25">
      <c r="B31" s="16"/>
      <c r="C31" s="111"/>
      <c r="D31" s="115" t="s">
        <v>22</v>
      </c>
      <c r="E31" s="114"/>
      <c r="F31" s="118">
        <v>12</v>
      </c>
      <c r="G31" s="218" t="s">
        <v>148</v>
      </c>
      <c r="H31" s="219">
        <f>VLOOKUP(F30,salaristabellen,22,FALSE)</f>
        <v>15</v>
      </c>
      <c r="I31" s="116"/>
      <c r="J31" s="19"/>
      <c r="K31" s="257"/>
      <c r="L31" s="264" t="str">
        <f t="shared" si="0"/>
        <v>LB</v>
      </c>
      <c r="M31" s="265">
        <f t="shared" si="5"/>
        <v>39</v>
      </c>
      <c r="N31" s="265"/>
      <c r="O31" s="265" t="str">
        <f t="shared" si="1"/>
        <v>LA</v>
      </c>
      <c r="P31" s="265">
        <f t="shared" si="6"/>
        <v>41</v>
      </c>
      <c r="Q31" s="265"/>
      <c r="R31" s="267">
        <f t="shared" si="2"/>
        <v>0</v>
      </c>
      <c r="S31" s="267">
        <f t="shared" si="3"/>
        <v>0</v>
      </c>
      <c r="T31" s="265"/>
      <c r="U31" s="267">
        <f t="shared" si="4"/>
        <v>0</v>
      </c>
      <c r="V31" s="265"/>
      <c r="W31" s="266">
        <v>27</v>
      </c>
      <c r="X31" s="257"/>
      <c r="Y31" s="272">
        <v>3</v>
      </c>
      <c r="Z31" s="3"/>
      <c r="AA31" s="3"/>
      <c r="AF31" s="3"/>
      <c r="AG31" s="3"/>
      <c r="AH31" s="3"/>
      <c r="AI31" s="3"/>
      <c r="AJ31" s="3"/>
      <c r="AK31" s="3"/>
      <c r="AL31" s="3"/>
      <c r="AM31" s="3"/>
      <c r="AN31" s="3"/>
      <c r="AO31" s="3"/>
    </row>
    <row r="32" spans="2:41" ht="13.5" customHeight="1" x14ac:dyDescent="0.25">
      <c r="B32" s="16"/>
      <c r="C32" s="111"/>
      <c r="D32" s="115" t="s">
        <v>24</v>
      </c>
      <c r="E32" s="114"/>
      <c r="F32" s="146">
        <f>VLOOKUP(F30,salaristabellen,IF(F31&gt;15,16,F31+1),FALSE)</f>
        <v>3477</v>
      </c>
      <c r="G32" s="115"/>
      <c r="H32" s="115"/>
      <c r="I32" s="221"/>
      <c r="J32" s="27"/>
      <c r="K32" s="257"/>
      <c r="L32" s="264" t="str">
        <f t="shared" si="0"/>
        <v>LB</v>
      </c>
      <c r="M32" s="265">
        <f t="shared" si="5"/>
        <v>40</v>
      </c>
      <c r="N32" s="265"/>
      <c r="O32" s="265" t="str">
        <f t="shared" si="1"/>
        <v>LA</v>
      </c>
      <c r="P32" s="265">
        <f t="shared" si="6"/>
        <v>42</v>
      </c>
      <c r="Q32" s="265"/>
      <c r="R32" s="267">
        <f t="shared" si="2"/>
        <v>0</v>
      </c>
      <c r="S32" s="267">
        <f t="shared" si="3"/>
        <v>0</v>
      </c>
      <c r="T32" s="265"/>
      <c r="U32" s="267">
        <f t="shared" si="4"/>
        <v>0</v>
      </c>
      <c r="V32" s="265"/>
      <c r="W32" s="266">
        <v>28</v>
      </c>
      <c r="X32" s="257"/>
      <c r="Y32" s="272">
        <v>4</v>
      </c>
      <c r="Z32" s="3"/>
      <c r="AA32" s="3"/>
      <c r="AF32" s="3"/>
      <c r="AG32" s="3"/>
      <c r="AH32" s="3"/>
      <c r="AI32" s="3"/>
      <c r="AJ32" s="3"/>
      <c r="AK32" s="3"/>
      <c r="AL32" s="3"/>
      <c r="AM32" s="3"/>
      <c r="AN32" s="3"/>
      <c r="AO32" s="3"/>
    </row>
    <row r="33" spans="2:41" ht="13.5" customHeight="1" x14ac:dyDescent="0.25">
      <c r="B33" s="16"/>
      <c r="C33" s="111"/>
      <c r="D33" s="114"/>
      <c r="E33" s="115"/>
      <c r="F33" s="145"/>
      <c r="G33" s="115"/>
      <c r="H33" s="115"/>
      <c r="I33" s="221"/>
      <c r="J33" s="27"/>
      <c r="K33" s="257"/>
      <c r="L33" s="264" t="str">
        <f t="shared" si="0"/>
        <v>LB</v>
      </c>
      <c r="M33" s="265">
        <f t="shared" si="5"/>
        <v>41</v>
      </c>
      <c r="N33" s="265"/>
      <c r="O33" s="265" t="str">
        <f t="shared" si="1"/>
        <v>LA</v>
      </c>
      <c r="P33" s="265">
        <f t="shared" si="6"/>
        <v>43</v>
      </c>
      <c r="Q33" s="265"/>
      <c r="R33" s="267">
        <f t="shared" si="2"/>
        <v>0</v>
      </c>
      <c r="S33" s="267">
        <f t="shared" si="3"/>
        <v>0</v>
      </c>
      <c r="T33" s="265"/>
      <c r="U33" s="267">
        <f t="shared" si="4"/>
        <v>0</v>
      </c>
      <c r="V33" s="265"/>
      <c r="W33" s="266">
        <v>29</v>
      </c>
      <c r="X33" s="257"/>
      <c r="Y33" s="272">
        <v>5</v>
      </c>
      <c r="Z33" s="3"/>
      <c r="AA33" s="3"/>
      <c r="AF33" s="3"/>
      <c r="AG33" s="3"/>
      <c r="AH33" s="3"/>
      <c r="AI33" s="3"/>
      <c r="AJ33" s="3"/>
      <c r="AK33" s="3"/>
      <c r="AL33" s="3"/>
      <c r="AM33" s="3"/>
      <c r="AN33" s="3"/>
      <c r="AO33" s="3"/>
    </row>
    <row r="34" spans="2:41" ht="13.5" customHeight="1" x14ac:dyDescent="0.25">
      <c r="B34" s="16"/>
      <c r="C34" s="111"/>
      <c r="D34" s="120" t="s">
        <v>215</v>
      </c>
      <c r="E34" s="115"/>
      <c r="F34" s="248" t="s">
        <v>119</v>
      </c>
      <c r="G34" s="115"/>
      <c r="H34" s="115"/>
      <c r="I34" s="221"/>
      <c r="J34" s="27"/>
      <c r="K34" s="257"/>
      <c r="L34" s="264" t="str">
        <f t="shared" si="0"/>
        <v>LB</v>
      </c>
      <c r="M34" s="265">
        <f t="shared" si="5"/>
        <v>42</v>
      </c>
      <c r="N34" s="265"/>
      <c r="O34" s="265" t="str">
        <f t="shared" si="1"/>
        <v>LA</v>
      </c>
      <c r="P34" s="265">
        <f t="shared" si="6"/>
        <v>44</v>
      </c>
      <c r="Q34" s="265"/>
      <c r="R34" s="267">
        <f t="shared" si="2"/>
        <v>0</v>
      </c>
      <c r="S34" s="267">
        <f t="shared" si="3"/>
        <v>0</v>
      </c>
      <c r="T34" s="265"/>
      <c r="U34" s="267">
        <f t="shared" si="4"/>
        <v>0</v>
      </c>
      <c r="V34" s="265"/>
      <c r="W34" s="266">
        <v>30</v>
      </c>
      <c r="X34" s="257"/>
      <c r="Y34" s="272">
        <v>6</v>
      </c>
      <c r="Z34" s="3"/>
      <c r="AA34" s="3"/>
      <c r="AF34" s="3"/>
      <c r="AG34" s="3"/>
      <c r="AH34" s="3"/>
      <c r="AI34" s="3"/>
      <c r="AJ34" s="3"/>
      <c r="AK34" s="3"/>
      <c r="AL34" s="3"/>
      <c r="AM34" s="3"/>
      <c r="AN34" s="3"/>
      <c r="AO34" s="3"/>
    </row>
    <row r="35" spans="2:41" ht="13.5" customHeight="1" x14ac:dyDescent="0.25">
      <c r="B35" s="16"/>
      <c r="C35" s="111"/>
      <c r="D35" s="115" t="s">
        <v>152</v>
      </c>
      <c r="E35" s="114"/>
      <c r="F35" s="248">
        <v>0</v>
      </c>
      <c r="G35" s="115"/>
      <c r="H35" s="115"/>
      <c r="I35" s="221"/>
      <c r="J35" s="27"/>
      <c r="K35" s="257"/>
      <c r="L35" s="264" t="str">
        <f t="shared" si="0"/>
        <v>LB</v>
      </c>
      <c r="M35" s="265">
        <f t="shared" si="5"/>
        <v>43</v>
      </c>
      <c r="N35" s="265"/>
      <c r="O35" s="265" t="str">
        <f t="shared" si="1"/>
        <v>LA</v>
      </c>
      <c r="P35" s="265">
        <f t="shared" si="6"/>
        <v>45</v>
      </c>
      <c r="Q35" s="265"/>
      <c r="R35" s="267">
        <f t="shared" si="2"/>
        <v>0</v>
      </c>
      <c r="S35" s="267">
        <f t="shared" si="3"/>
        <v>0</v>
      </c>
      <c r="T35" s="265"/>
      <c r="U35" s="267">
        <f t="shared" si="4"/>
        <v>0</v>
      </c>
      <c r="V35" s="265"/>
      <c r="W35" s="266">
        <v>31</v>
      </c>
      <c r="X35" s="257"/>
      <c r="Y35" s="272">
        <v>7</v>
      </c>
      <c r="Z35" s="3"/>
      <c r="AA35" s="3"/>
    </row>
    <row r="36" spans="2:41" ht="13.5" customHeight="1" x14ac:dyDescent="0.25">
      <c r="B36" s="16"/>
      <c r="C36" s="111"/>
      <c r="D36" s="114" t="s">
        <v>26</v>
      </c>
      <c r="E36" s="114"/>
      <c r="F36" s="249">
        <f>ROUND(IF(F34="ja",F32*F35,F32*F20),2)</f>
        <v>3477</v>
      </c>
      <c r="G36" s="115"/>
      <c r="H36" s="115"/>
      <c r="I36" s="221"/>
      <c r="J36" s="27"/>
      <c r="K36" s="257"/>
      <c r="L36" s="264" t="str">
        <f t="shared" si="0"/>
        <v>LB</v>
      </c>
      <c r="M36" s="265">
        <f t="shared" si="5"/>
        <v>44</v>
      </c>
      <c r="N36" s="265"/>
      <c r="O36" s="265" t="str">
        <f t="shared" si="1"/>
        <v>LA</v>
      </c>
      <c r="P36" s="265">
        <f t="shared" si="6"/>
        <v>46</v>
      </c>
      <c r="Q36" s="265"/>
      <c r="R36" s="267">
        <f t="shared" si="2"/>
        <v>0</v>
      </c>
      <c r="S36" s="267">
        <f t="shared" si="3"/>
        <v>0</v>
      </c>
      <c r="T36" s="265"/>
      <c r="U36" s="267">
        <f t="shared" si="4"/>
        <v>0</v>
      </c>
      <c r="V36" s="265"/>
      <c r="W36" s="266">
        <v>32</v>
      </c>
      <c r="X36" s="257"/>
      <c r="Y36" s="272">
        <v>8</v>
      </c>
      <c r="Z36" s="3"/>
      <c r="AA36" s="3"/>
    </row>
    <row r="37" spans="2:41" ht="13.5" customHeight="1" x14ac:dyDescent="0.25">
      <c r="B37" s="16"/>
      <c r="C37" s="128"/>
      <c r="D37" s="129"/>
      <c r="E37" s="129"/>
      <c r="F37" s="130"/>
      <c r="G37" s="150"/>
      <c r="H37" s="150"/>
      <c r="I37" s="222"/>
      <c r="J37" s="27"/>
      <c r="K37" s="257"/>
      <c r="L37" s="264" t="str">
        <f t="shared" si="0"/>
        <v>LB</v>
      </c>
      <c r="M37" s="265">
        <f t="shared" si="5"/>
        <v>45</v>
      </c>
      <c r="N37" s="265"/>
      <c r="O37" s="265" t="str">
        <f t="shared" si="1"/>
        <v>LA</v>
      </c>
      <c r="P37" s="265">
        <f t="shared" si="6"/>
        <v>47</v>
      </c>
      <c r="Q37" s="265"/>
      <c r="R37" s="267">
        <f t="shared" si="2"/>
        <v>0</v>
      </c>
      <c r="S37" s="267">
        <f t="shared" si="3"/>
        <v>0</v>
      </c>
      <c r="T37" s="265"/>
      <c r="U37" s="267">
        <f t="shared" si="4"/>
        <v>0</v>
      </c>
      <c r="V37" s="265"/>
      <c r="W37" s="266">
        <v>33</v>
      </c>
      <c r="X37" s="257"/>
      <c r="Y37" s="272">
        <v>9</v>
      </c>
      <c r="Z37" s="3"/>
      <c r="AA37" s="3"/>
    </row>
    <row r="38" spans="2:41" ht="13.5" customHeight="1" x14ac:dyDescent="0.25">
      <c r="B38" s="16"/>
      <c r="C38" s="17"/>
      <c r="D38" s="17"/>
      <c r="E38" s="17"/>
      <c r="F38" s="18"/>
      <c r="G38" s="20"/>
      <c r="H38" s="20"/>
      <c r="I38" s="20"/>
      <c r="J38" s="27"/>
      <c r="K38" s="257"/>
      <c r="L38" s="264" t="str">
        <f t="shared" si="0"/>
        <v>LB</v>
      </c>
      <c r="M38" s="265">
        <f t="shared" si="5"/>
        <v>46</v>
      </c>
      <c r="N38" s="265"/>
      <c r="O38" s="265" t="str">
        <f t="shared" si="1"/>
        <v>LA</v>
      </c>
      <c r="P38" s="265">
        <f t="shared" si="6"/>
        <v>48</v>
      </c>
      <c r="Q38" s="265"/>
      <c r="R38" s="267">
        <f t="shared" si="2"/>
        <v>0</v>
      </c>
      <c r="S38" s="267">
        <f t="shared" si="3"/>
        <v>0</v>
      </c>
      <c r="T38" s="265"/>
      <c r="U38" s="267">
        <f t="shared" si="4"/>
        <v>0</v>
      </c>
      <c r="V38" s="265"/>
      <c r="W38" s="266">
        <v>34</v>
      </c>
      <c r="X38" s="257"/>
      <c r="Y38" s="272">
        <v>10</v>
      </c>
      <c r="Z38" s="3"/>
      <c r="AA38" s="3"/>
    </row>
    <row r="39" spans="2:41" ht="13.5" customHeight="1" x14ac:dyDescent="0.25">
      <c r="B39" s="16"/>
      <c r="C39" s="106"/>
      <c r="D39" s="107"/>
      <c r="E39" s="107"/>
      <c r="F39" s="108"/>
      <c r="G39" s="109"/>
      <c r="H39" s="109"/>
      <c r="I39" s="223"/>
      <c r="J39" s="27"/>
      <c r="K39" s="257"/>
      <c r="L39" s="264" t="str">
        <f t="shared" si="0"/>
        <v>LB</v>
      </c>
      <c r="M39" s="265">
        <f t="shared" si="5"/>
        <v>47</v>
      </c>
      <c r="N39" s="265"/>
      <c r="O39" s="265" t="str">
        <f t="shared" si="1"/>
        <v>LA</v>
      </c>
      <c r="P39" s="265">
        <f t="shared" si="6"/>
        <v>49</v>
      </c>
      <c r="Q39" s="265"/>
      <c r="R39" s="267">
        <f t="shared" si="2"/>
        <v>0</v>
      </c>
      <c r="S39" s="267">
        <f t="shared" si="3"/>
        <v>0</v>
      </c>
      <c r="T39" s="265"/>
      <c r="U39" s="267">
        <f t="shared" si="4"/>
        <v>0</v>
      </c>
      <c r="V39" s="265"/>
      <c r="W39" s="266">
        <v>35</v>
      </c>
      <c r="X39" s="257"/>
      <c r="Y39" s="272">
        <v>11</v>
      </c>
      <c r="Z39" s="3"/>
      <c r="AA39" s="3"/>
    </row>
    <row r="40" spans="2:41" ht="13.5" customHeight="1" x14ac:dyDescent="0.25">
      <c r="B40" s="16"/>
      <c r="C40" s="111"/>
      <c r="D40" s="112" t="s">
        <v>217</v>
      </c>
      <c r="E40" s="114"/>
      <c r="F40" s="113"/>
      <c r="G40" s="115"/>
      <c r="H40" s="115"/>
      <c r="I40" s="221"/>
      <c r="J40" s="27"/>
      <c r="K40" s="257"/>
      <c r="L40" s="264" t="str">
        <f t="shared" si="0"/>
        <v>LB</v>
      </c>
      <c r="M40" s="265">
        <f t="shared" si="5"/>
        <v>48</v>
      </c>
      <c r="N40" s="265"/>
      <c r="O40" s="265" t="str">
        <f t="shared" si="1"/>
        <v>LA</v>
      </c>
      <c r="P40" s="265">
        <f t="shared" si="6"/>
        <v>50</v>
      </c>
      <c r="Q40" s="265"/>
      <c r="R40" s="267">
        <f t="shared" si="2"/>
        <v>0</v>
      </c>
      <c r="S40" s="267">
        <f t="shared" si="3"/>
        <v>0</v>
      </c>
      <c r="T40" s="265"/>
      <c r="U40" s="267">
        <f t="shared" si="4"/>
        <v>0</v>
      </c>
      <c r="V40" s="265"/>
      <c r="W40" s="266">
        <v>36</v>
      </c>
      <c r="X40" s="257"/>
      <c r="Y40" s="272">
        <v>12</v>
      </c>
      <c r="Z40" s="3"/>
      <c r="AA40" s="3"/>
    </row>
    <row r="41" spans="2:41" ht="13.5" customHeight="1" x14ac:dyDescent="0.25">
      <c r="B41" s="16"/>
      <c r="C41" s="111"/>
      <c r="D41" s="114"/>
      <c r="E41" s="114"/>
      <c r="F41" s="113"/>
      <c r="G41" s="115"/>
      <c r="H41" s="115"/>
      <c r="I41" s="221"/>
      <c r="J41" s="27"/>
      <c r="K41" s="257"/>
      <c r="L41" s="264" t="str">
        <f t="shared" si="0"/>
        <v>LB</v>
      </c>
      <c r="M41" s="265">
        <f t="shared" si="5"/>
        <v>49</v>
      </c>
      <c r="N41" s="265"/>
      <c r="O41" s="265" t="str">
        <f t="shared" si="1"/>
        <v>LA</v>
      </c>
      <c r="P41" s="265">
        <f t="shared" si="6"/>
        <v>51</v>
      </c>
      <c r="Q41" s="265"/>
      <c r="R41" s="267">
        <f t="shared" si="2"/>
        <v>0</v>
      </c>
      <c r="S41" s="267">
        <f t="shared" si="3"/>
        <v>0</v>
      </c>
      <c r="T41" s="265"/>
      <c r="U41" s="267">
        <f t="shared" si="4"/>
        <v>0</v>
      </c>
      <c r="V41" s="265"/>
      <c r="W41" s="266">
        <v>37</v>
      </c>
      <c r="X41" s="257"/>
      <c r="Y41" s="272">
        <v>13</v>
      </c>
      <c r="Z41" s="3"/>
      <c r="AA41" s="3"/>
    </row>
    <row r="42" spans="2:41" ht="13.5" customHeight="1" x14ac:dyDescent="0.25">
      <c r="B42" s="16"/>
      <c r="C42" s="111"/>
      <c r="D42" s="114" t="s">
        <v>153</v>
      </c>
      <c r="E42" s="114"/>
      <c r="F42" s="169">
        <f>+F36-F21</f>
        <v>76</v>
      </c>
      <c r="G42" s="115"/>
      <c r="H42" s="115"/>
      <c r="I42" s="221"/>
      <c r="J42" s="27"/>
      <c r="K42" s="31"/>
      <c r="L42" s="264" t="str">
        <f t="shared" si="0"/>
        <v>LB</v>
      </c>
      <c r="M42" s="265">
        <f t="shared" si="5"/>
        <v>50</v>
      </c>
      <c r="N42" s="265"/>
      <c r="O42" s="265" t="str">
        <f t="shared" si="1"/>
        <v>LA</v>
      </c>
      <c r="P42" s="265">
        <f t="shared" si="6"/>
        <v>52</v>
      </c>
      <c r="Q42" s="265"/>
      <c r="R42" s="267">
        <f t="shared" si="2"/>
        <v>0</v>
      </c>
      <c r="S42" s="267">
        <f t="shared" si="3"/>
        <v>0</v>
      </c>
      <c r="T42" s="265"/>
      <c r="U42" s="267">
        <f t="shared" si="4"/>
        <v>0</v>
      </c>
      <c r="V42" s="265"/>
      <c r="W42" s="266">
        <v>38</v>
      </c>
      <c r="X42" s="31"/>
      <c r="Y42" s="272">
        <v>14</v>
      </c>
    </row>
    <row r="43" spans="2:41" ht="13.5" customHeight="1" x14ac:dyDescent="0.25">
      <c r="B43" s="16"/>
      <c r="C43" s="111"/>
      <c r="D43" s="114" t="s">
        <v>154</v>
      </c>
      <c r="E43" s="114"/>
      <c r="F43" s="206">
        <v>0.59</v>
      </c>
      <c r="G43" s="115"/>
      <c r="H43" s="115"/>
      <c r="I43" s="221"/>
      <c r="J43" s="27"/>
      <c r="K43" s="31"/>
      <c r="L43" s="264" t="str">
        <f t="shared" si="0"/>
        <v>LB</v>
      </c>
      <c r="M43" s="265">
        <f t="shared" si="5"/>
        <v>51</v>
      </c>
      <c r="N43" s="265"/>
      <c r="O43" s="265" t="str">
        <f t="shared" si="1"/>
        <v>LA</v>
      </c>
      <c r="P43" s="265">
        <f t="shared" si="6"/>
        <v>53</v>
      </c>
      <c r="Q43" s="265"/>
      <c r="R43" s="267">
        <f t="shared" si="2"/>
        <v>0</v>
      </c>
      <c r="S43" s="267">
        <f t="shared" si="3"/>
        <v>0</v>
      </c>
      <c r="T43" s="265"/>
      <c r="U43" s="267">
        <f t="shared" si="4"/>
        <v>0</v>
      </c>
      <c r="V43" s="265"/>
      <c r="W43" s="266">
        <v>39</v>
      </c>
      <c r="X43" s="31"/>
      <c r="Y43" s="272" t="s">
        <v>87</v>
      </c>
    </row>
    <row r="44" spans="2:41" ht="13.5" customHeight="1" x14ac:dyDescent="0.25">
      <c r="B44" s="16"/>
      <c r="C44" s="111"/>
      <c r="D44" s="114" t="s">
        <v>155</v>
      </c>
      <c r="E44" s="114"/>
      <c r="F44" s="169">
        <f>+F42*12*(1+F43)</f>
        <v>1450.08</v>
      </c>
      <c r="G44" s="114"/>
      <c r="H44" s="114"/>
      <c r="I44" s="116"/>
      <c r="J44" s="19"/>
      <c r="K44" s="31"/>
      <c r="L44" s="264" t="str">
        <f t="shared" si="0"/>
        <v>LB</v>
      </c>
      <c r="M44" s="265">
        <f t="shared" si="5"/>
        <v>52</v>
      </c>
      <c r="N44" s="265"/>
      <c r="O44" s="265" t="str">
        <f t="shared" si="1"/>
        <v>LA</v>
      </c>
      <c r="P44" s="265">
        <f t="shared" si="6"/>
        <v>54</v>
      </c>
      <c r="Q44" s="265"/>
      <c r="R44" s="267">
        <f t="shared" si="2"/>
        <v>0</v>
      </c>
      <c r="S44" s="267">
        <f t="shared" si="3"/>
        <v>0</v>
      </c>
      <c r="T44" s="265"/>
      <c r="U44" s="267">
        <f t="shared" si="4"/>
        <v>0</v>
      </c>
      <c r="V44" s="265"/>
      <c r="W44" s="266">
        <v>40</v>
      </c>
      <c r="X44" s="31"/>
      <c r="Y44" s="272" t="s">
        <v>88</v>
      </c>
    </row>
    <row r="45" spans="2:41" ht="13.5" customHeight="1" x14ac:dyDescent="0.25">
      <c r="B45" s="16"/>
      <c r="C45" s="111"/>
      <c r="D45" s="114" t="s">
        <v>156</v>
      </c>
      <c r="E45" s="114"/>
      <c r="F45" s="224">
        <f>+F24-F23</f>
        <v>20</v>
      </c>
      <c r="G45" s="114"/>
      <c r="H45" s="114"/>
      <c r="I45" s="116"/>
      <c r="J45" s="19"/>
      <c r="K45" s="258"/>
      <c r="L45" s="264" t="str">
        <f t="shared" si="0"/>
        <v>LB</v>
      </c>
      <c r="M45" s="265">
        <f t="shared" si="5"/>
        <v>53</v>
      </c>
      <c r="N45" s="265"/>
      <c r="O45" s="265" t="str">
        <f t="shared" si="1"/>
        <v>LA</v>
      </c>
      <c r="P45" s="265">
        <f t="shared" si="6"/>
        <v>55</v>
      </c>
      <c r="Q45" s="265"/>
      <c r="R45" s="267">
        <f t="shared" si="2"/>
        <v>0</v>
      </c>
      <c r="S45" s="267">
        <f t="shared" si="3"/>
        <v>0</v>
      </c>
      <c r="T45" s="265"/>
      <c r="U45" s="267">
        <f t="shared" si="4"/>
        <v>0</v>
      </c>
      <c r="V45" s="265"/>
      <c r="W45" s="266">
        <v>41</v>
      </c>
      <c r="X45" s="258"/>
      <c r="Y45" s="272" t="s">
        <v>89</v>
      </c>
    </row>
    <row r="46" spans="2:41" s="2" customFormat="1" ht="13.5" customHeight="1" x14ac:dyDescent="0.25">
      <c r="B46" s="16"/>
      <c r="C46" s="111"/>
      <c r="D46" s="114" t="s">
        <v>157</v>
      </c>
      <c r="E46" s="114"/>
      <c r="F46" s="225">
        <f>IF(F34="nee",U52*F20,U52*F35)</f>
        <v>5996.84399999999</v>
      </c>
      <c r="G46" s="125"/>
      <c r="H46" s="114"/>
      <c r="I46" s="116"/>
      <c r="J46" s="19"/>
      <c r="K46" s="259"/>
      <c r="L46" s="264" t="str">
        <f t="shared" si="0"/>
        <v>LB</v>
      </c>
      <c r="M46" s="265">
        <f t="shared" si="5"/>
        <v>54</v>
      </c>
      <c r="N46" s="265"/>
      <c r="O46" s="265" t="str">
        <f t="shared" si="1"/>
        <v>LA</v>
      </c>
      <c r="P46" s="265">
        <f t="shared" si="6"/>
        <v>56</v>
      </c>
      <c r="Q46" s="265"/>
      <c r="R46" s="267">
        <f t="shared" si="2"/>
        <v>0</v>
      </c>
      <c r="S46" s="267">
        <f t="shared" si="3"/>
        <v>0</v>
      </c>
      <c r="T46" s="265"/>
      <c r="U46" s="267">
        <f t="shared" si="4"/>
        <v>0</v>
      </c>
      <c r="V46" s="265"/>
      <c r="W46" s="266">
        <v>42</v>
      </c>
    </row>
    <row r="47" spans="2:41" ht="13.5" customHeight="1" x14ac:dyDescent="0.25">
      <c r="B47" s="16"/>
      <c r="C47" s="111"/>
      <c r="D47" s="120"/>
      <c r="E47" s="114"/>
      <c r="F47" s="250"/>
      <c r="G47" s="125"/>
      <c r="H47" s="114"/>
      <c r="I47" s="251"/>
      <c r="J47" s="77"/>
      <c r="K47" s="258"/>
      <c r="L47" s="264" t="str">
        <f t="shared" si="0"/>
        <v>LB</v>
      </c>
      <c r="M47" s="265">
        <f t="shared" si="5"/>
        <v>55</v>
      </c>
      <c r="N47" s="265"/>
      <c r="O47" s="265" t="str">
        <f t="shared" si="1"/>
        <v>LA</v>
      </c>
      <c r="P47" s="265">
        <f t="shared" si="6"/>
        <v>57</v>
      </c>
      <c r="Q47" s="265"/>
      <c r="R47" s="267">
        <f t="shared" si="2"/>
        <v>0</v>
      </c>
      <c r="S47" s="267">
        <f t="shared" si="3"/>
        <v>0</v>
      </c>
      <c r="T47" s="265"/>
      <c r="U47" s="267">
        <f t="shared" si="4"/>
        <v>0</v>
      </c>
      <c r="V47" s="265"/>
      <c r="W47" s="266">
        <v>43</v>
      </c>
    </row>
    <row r="48" spans="2:41" ht="13.5" customHeight="1" x14ac:dyDescent="0.25">
      <c r="B48" s="23"/>
      <c r="C48" s="117"/>
      <c r="D48" s="120" t="s">
        <v>216</v>
      </c>
      <c r="E48" s="120"/>
      <c r="F48" s="227">
        <f>+U51*F20</f>
        <v>119936.8799999998</v>
      </c>
      <c r="G48" s="120"/>
      <c r="H48" s="120"/>
      <c r="I48" s="252"/>
      <c r="J48" s="78"/>
      <c r="K48" s="258"/>
      <c r="L48" s="264" t="str">
        <f t="shared" si="0"/>
        <v>LB</v>
      </c>
      <c r="M48" s="265">
        <f t="shared" si="5"/>
        <v>56</v>
      </c>
      <c r="N48" s="265"/>
      <c r="O48" s="265" t="str">
        <f t="shared" si="1"/>
        <v>LA</v>
      </c>
      <c r="P48" s="265">
        <f t="shared" si="6"/>
        <v>58</v>
      </c>
      <c r="Q48" s="265"/>
      <c r="R48" s="267">
        <f t="shared" si="2"/>
        <v>0</v>
      </c>
      <c r="S48" s="267">
        <f t="shared" si="3"/>
        <v>0</v>
      </c>
      <c r="T48" s="265"/>
      <c r="U48" s="267">
        <f t="shared" si="4"/>
        <v>0</v>
      </c>
      <c r="V48" s="265"/>
      <c r="W48" s="266">
        <v>44</v>
      </c>
    </row>
    <row r="49" spans="2:23" ht="13.5" customHeight="1" x14ac:dyDescent="0.25">
      <c r="B49" s="16"/>
      <c r="C49" s="128"/>
      <c r="D49" s="129"/>
      <c r="E49" s="129"/>
      <c r="F49" s="130"/>
      <c r="G49" s="129"/>
      <c r="H49" s="129"/>
      <c r="I49" s="253"/>
      <c r="J49" s="77"/>
      <c r="K49" s="258"/>
      <c r="L49" s="264" t="str">
        <f t="shared" si="0"/>
        <v>LB</v>
      </c>
      <c r="M49" s="265">
        <f t="shared" si="5"/>
        <v>57</v>
      </c>
      <c r="N49" s="265"/>
      <c r="O49" s="265" t="str">
        <f t="shared" si="1"/>
        <v>LA</v>
      </c>
      <c r="P49" s="265">
        <f t="shared" si="6"/>
        <v>59</v>
      </c>
      <c r="Q49" s="265"/>
      <c r="R49" s="267">
        <f t="shared" si="2"/>
        <v>0</v>
      </c>
      <c r="S49" s="267">
        <f t="shared" si="3"/>
        <v>0</v>
      </c>
      <c r="T49" s="265"/>
      <c r="U49" s="267">
        <f t="shared" si="4"/>
        <v>0</v>
      </c>
      <c r="V49" s="265"/>
      <c r="W49" s="266">
        <v>45</v>
      </c>
    </row>
    <row r="50" spans="2:23" ht="13.5" customHeight="1" x14ac:dyDescent="0.25">
      <c r="B50" s="16"/>
      <c r="C50" s="17"/>
      <c r="D50" s="17"/>
      <c r="E50" s="17"/>
      <c r="F50" s="18"/>
      <c r="G50" s="17"/>
      <c r="H50" s="17"/>
      <c r="I50" s="33"/>
      <c r="J50" s="77"/>
      <c r="K50" s="258"/>
      <c r="L50" s="264"/>
      <c r="M50" s="265"/>
      <c r="N50" s="265"/>
      <c r="O50" s="265"/>
      <c r="P50" s="265"/>
      <c r="Q50" s="265"/>
      <c r="R50" s="265"/>
      <c r="S50" s="265"/>
      <c r="T50" s="265"/>
      <c r="U50" s="265"/>
      <c r="V50" s="265"/>
      <c r="W50" s="266"/>
    </row>
    <row r="51" spans="2:23" ht="13.5" customHeight="1" x14ac:dyDescent="0.25">
      <c r="B51" s="16"/>
      <c r="C51" s="17"/>
      <c r="D51" s="17"/>
      <c r="E51" s="17"/>
      <c r="F51" s="18"/>
      <c r="G51" s="17"/>
      <c r="H51" s="17"/>
      <c r="I51" s="33"/>
      <c r="J51" s="77"/>
      <c r="K51" s="81"/>
      <c r="L51" s="264"/>
      <c r="M51" s="265"/>
      <c r="N51" s="265"/>
      <c r="O51" s="265"/>
      <c r="P51" s="265"/>
      <c r="Q51" s="265"/>
      <c r="R51" s="265"/>
      <c r="S51" s="265"/>
      <c r="T51" s="265"/>
      <c r="U51" s="267">
        <f>SUM(U4:U49)</f>
        <v>119936.8799999998</v>
      </c>
      <c r="V51" s="265"/>
      <c r="W51" s="266"/>
    </row>
    <row r="52" spans="2:23" ht="13.5" customHeight="1" x14ac:dyDescent="0.25">
      <c r="B52" s="9"/>
      <c r="C52" s="10"/>
      <c r="D52" s="10"/>
      <c r="E52" s="10"/>
      <c r="F52" s="56"/>
      <c r="G52" s="10"/>
      <c r="H52" s="10"/>
      <c r="I52" s="82" t="s">
        <v>211</v>
      </c>
      <c r="J52" s="83"/>
      <c r="K52" s="81"/>
      <c r="L52" s="268"/>
      <c r="M52" s="269"/>
      <c r="N52" s="269"/>
      <c r="O52" s="269"/>
      <c r="P52" s="269"/>
      <c r="Q52" s="269"/>
      <c r="R52" s="269"/>
      <c r="S52" s="269" t="s">
        <v>31</v>
      </c>
      <c r="T52" s="269"/>
      <c r="U52" s="270">
        <f>IF(F45=0,0,+U51/F45)</f>
        <v>5996.84399999999</v>
      </c>
      <c r="V52" s="269"/>
      <c r="W52" s="271"/>
    </row>
    <row r="53" spans="2:23" ht="13.5" customHeight="1" x14ac:dyDescent="0.25">
      <c r="I53" s="81"/>
      <c r="J53" s="81"/>
      <c r="K53" s="81"/>
    </row>
    <row r="54" spans="2:23" ht="13.5" customHeight="1" x14ac:dyDescent="0.25">
      <c r="I54" s="81"/>
      <c r="J54" s="81"/>
      <c r="L54" s="4"/>
      <c r="M54" s="4"/>
    </row>
    <row r="55" spans="2:23" ht="13.5" customHeight="1" x14ac:dyDescent="0.25">
      <c r="I55" s="81"/>
      <c r="J55" s="81"/>
      <c r="L55" s="4"/>
      <c r="M55" s="4"/>
    </row>
    <row r="56" spans="2:23" ht="13.5" customHeight="1" x14ac:dyDescent="0.25">
      <c r="I56" s="81"/>
      <c r="J56" s="81"/>
      <c r="L56" s="4"/>
      <c r="M56" s="4"/>
    </row>
    <row r="57" spans="2:23" ht="13.5" customHeight="1" x14ac:dyDescent="0.25">
      <c r="I57" s="81"/>
      <c r="J57" s="81"/>
      <c r="L57" s="4"/>
      <c r="M57" s="4"/>
    </row>
    <row r="58" spans="2:23" ht="13.5" customHeight="1" x14ac:dyDescent="0.25">
      <c r="I58" s="81"/>
      <c r="J58" s="81"/>
      <c r="L58" s="4"/>
      <c r="M58" s="4"/>
    </row>
    <row r="59" spans="2:23" ht="13.5" customHeight="1" x14ac:dyDescent="0.25">
      <c r="C59" s="94" t="s">
        <v>70</v>
      </c>
      <c r="I59" s="81"/>
      <c r="J59" s="81"/>
      <c r="L59" s="4"/>
      <c r="M59" s="4"/>
    </row>
    <row r="60" spans="2:23" ht="13.5" customHeight="1" x14ac:dyDescent="0.25">
      <c r="C60" s="94" t="s">
        <v>71</v>
      </c>
      <c r="I60" s="81"/>
      <c r="J60" s="81"/>
      <c r="L60" s="4"/>
      <c r="M60" s="4"/>
    </row>
    <row r="61" spans="2:23" ht="13.5" customHeight="1" x14ac:dyDescent="0.25">
      <c r="C61" s="94" t="s">
        <v>72</v>
      </c>
      <c r="I61" s="81"/>
      <c r="J61" s="81"/>
      <c r="L61" s="73"/>
      <c r="M61" s="73"/>
    </row>
    <row r="62" spans="2:23" ht="13.5" customHeight="1" x14ac:dyDescent="0.25">
      <c r="C62" s="279" t="s">
        <v>243</v>
      </c>
      <c r="I62" s="81"/>
      <c r="J62" s="81"/>
      <c r="L62" s="73"/>
      <c r="M62" s="73"/>
    </row>
    <row r="63" spans="2:23" ht="13.5" customHeight="1" x14ac:dyDescent="0.25">
      <c r="I63" s="81"/>
      <c r="J63" s="81"/>
      <c r="L63" s="4"/>
      <c r="M63" s="4"/>
    </row>
    <row r="64" spans="2:23" ht="13.5" customHeight="1" x14ac:dyDescent="0.25">
      <c r="I64" s="81"/>
      <c r="J64" s="81"/>
      <c r="L64" s="4"/>
      <c r="M64" s="4"/>
    </row>
    <row r="65" spans="9:13" ht="13.5" customHeight="1" x14ac:dyDescent="0.25">
      <c r="I65" s="81"/>
      <c r="J65" s="81"/>
      <c r="L65" s="4"/>
      <c r="M65" s="4"/>
    </row>
    <row r="66" spans="9:13" ht="13.5" customHeight="1" x14ac:dyDescent="0.25">
      <c r="I66" s="81"/>
      <c r="J66" s="81"/>
      <c r="L66" s="4"/>
      <c r="M66" s="4"/>
    </row>
    <row r="67" spans="9:13" ht="13.5" customHeight="1" x14ac:dyDescent="0.25">
      <c r="I67" s="81"/>
      <c r="J67" s="81"/>
      <c r="L67" s="4"/>
      <c r="M67" s="4"/>
    </row>
    <row r="68" spans="9:13" ht="13.5" customHeight="1" x14ac:dyDescent="0.25">
      <c r="I68" s="81"/>
      <c r="J68" s="81"/>
      <c r="L68" s="4"/>
      <c r="M68" s="4"/>
    </row>
    <row r="69" spans="9:13" ht="13.5" customHeight="1" x14ac:dyDescent="0.25">
      <c r="I69" s="81"/>
      <c r="J69" s="81"/>
      <c r="L69" s="4"/>
      <c r="M69" s="4"/>
    </row>
    <row r="70" spans="9:13" ht="13.5" customHeight="1" x14ac:dyDescent="0.25">
      <c r="I70" s="81"/>
      <c r="J70" s="81"/>
      <c r="L70" s="4"/>
      <c r="M70" s="4"/>
    </row>
    <row r="71" spans="9:13" ht="13.5" customHeight="1" x14ac:dyDescent="0.25">
      <c r="I71" s="81"/>
      <c r="J71" s="81"/>
      <c r="L71" s="4"/>
      <c r="M71" s="4"/>
    </row>
    <row r="72" spans="9:13" ht="13.5" customHeight="1" x14ac:dyDescent="0.25">
      <c r="I72" s="81"/>
      <c r="J72" s="81"/>
      <c r="L72" s="4"/>
      <c r="M72" s="4"/>
    </row>
    <row r="73" spans="9:13" ht="13.5" customHeight="1" x14ac:dyDescent="0.25">
      <c r="I73" s="81"/>
      <c r="J73" s="81"/>
      <c r="L73" s="4"/>
      <c r="M73" s="4"/>
    </row>
    <row r="74" spans="9:13" ht="13.5" customHeight="1" x14ac:dyDescent="0.25">
      <c r="I74" s="81"/>
      <c r="J74" s="81"/>
      <c r="L74" s="4"/>
      <c r="M74" s="4"/>
    </row>
    <row r="75" spans="9:13" ht="13.5" customHeight="1" x14ac:dyDescent="0.25">
      <c r="I75" s="81"/>
      <c r="J75" s="81"/>
      <c r="L75" s="4"/>
      <c r="M75" s="4"/>
    </row>
    <row r="76" spans="9:13" ht="13.5" customHeight="1" x14ac:dyDescent="0.25">
      <c r="I76" s="81"/>
      <c r="J76" s="81"/>
      <c r="L76" s="4"/>
      <c r="M76" s="4"/>
    </row>
    <row r="77" spans="9:13" ht="13.5" customHeight="1" x14ac:dyDescent="0.25">
      <c r="I77" s="81"/>
      <c r="J77" s="81"/>
      <c r="L77" s="4"/>
      <c r="M77" s="4"/>
    </row>
    <row r="78" spans="9:13" ht="13.5" customHeight="1" x14ac:dyDescent="0.25">
      <c r="I78" s="81"/>
      <c r="J78" s="81"/>
      <c r="L78" s="4"/>
      <c r="M78" s="4"/>
    </row>
    <row r="79" spans="9:13" ht="13.5" customHeight="1" x14ac:dyDescent="0.25">
      <c r="I79" s="81"/>
      <c r="J79" s="81"/>
      <c r="L79" s="4"/>
      <c r="M79" s="4"/>
    </row>
    <row r="80" spans="9:13" ht="13.5" customHeight="1" x14ac:dyDescent="0.25">
      <c r="I80" s="81"/>
      <c r="J80" s="81"/>
      <c r="L80" s="4"/>
      <c r="M80" s="4"/>
    </row>
    <row r="81" spans="9:13" ht="13.5" customHeight="1" x14ac:dyDescent="0.25">
      <c r="I81" s="81"/>
      <c r="J81" s="81"/>
      <c r="L81" s="4"/>
      <c r="M81" s="4"/>
    </row>
    <row r="82" spans="9:13" ht="13.5" customHeight="1" x14ac:dyDescent="0.25">
      <c r="I82" s="81"/>
      <c r="J82" s="81"/>
      <c r="L82" s="4"/>
      <c r="M82" s="4"/>
    </row>
    <row r="83" spans="9:13" ht="13.5" customHeight="1" x14ac:dyDescent="0.25">
      <c r="I83" s="81"/>
      <c r="J83" s="81"/>
      <c r="L83" s="4"/>
      <c r="M83" s="4"/>
    </row>
    <row r="84" spans="9:13" ht="13.5" customHeight="1" x14ac:dyDescent="0.25">
      <c r="I84" s="81"/>
      <c r="J84" s="81"/>
      <c r="L84" s="4"/>
      <c r="M84" s="4"/>
    </row>
    <row r="85" spans="9:13" ht="13.5" customHeight="1" x14ac:dyDescent="0.25">
      <c r="I85" s="81"/>
      <c r="J85" s="81"/>
      <c r="L85" s="4"/>
      <c r="M85" s="4"/>
    </row>
    <row r="86" spans="9:13" ht="13.5" customHeight="1" x14ac:dyDescent="0.25">
      <c r="I86" s="81"/>
      <c r="J86" s="81"/>
      <c r="L86" s="4"/>
      <c r="M86" s="4"/>
    </row>
    <row r="87" spans="9:13" ht="13.5" customHeight="1" x14ac:dyDescent="0.25">
      <c r="I87" s="81"/>
      <c r="J87" s="81"/>
      <c r="L87" s="4"/>
      <c r="M87" s="4"/>
    </row>
    <row r="88" spans="9:13" ht="13.5" customHeight="1" x14ac:dyDescent="0.25">
      <c r="I88" s="81"/>
      <c r="J88" s="81"/>
      <c r="L88" s="4"/>
      <c r="M88" s="4"/>
    </row>
    <row r="89" spans="9:13" ht="13.5" customHeight="1" x14ac:dyDescent="0.25">
      <c r="I89" s="81"/>
      <c r="J89" s="81"/>
      <c r="L89" s="4"/>
      <c r="M89" s="4"/>
    </row>
    <row r="90" spans="9:13" ht="13.5" customHeight="1" x14ac:dyDescent="0.25">
      <c r="I90" s="81"/>
      <c r="J90" s="81"/>
      <c r="L90" s="4"/>
      <c r="M90" s="4"/>
    </row>
    <row r="91" spans="9:13" ht="13.5" customHeight="1" x14ac:dyDescent="0.25">
      <c r="I91" s="81"/>
      <c r="J91" s="81"/>
      <c r="L91" s="4"/>
      <c r="M91" s="4"/>
    </row>
    <row r="92" spans="9:13" ht="13.5" customHeight="1" x14ac:dyDescent="0.25">
      <c r="I92" s="81"/>
      <c r="J92" s="81"/>
      <c r="L92" s="4"/>
      <c r="M92" s="4"/>
    </row>
    <row r="93" spans="9:13" ht="13.5" customHeight="1" x14ac:dyDescent="0.25">
      <c r="I93" s="81"/>
      <c r="J93" s="81"/>
      <c r="L93" s="4"/>
      <c r="M93" s="4"/>
    </row>
    <row r="94" spans="9:13" ht="13.5" customHeight="1" x14ac:dyDescent="0.25">
      <c r="I94" s="81"/>
      <c r="J94" s="81"/>
      <c r="L94" s="4"/>
      <c r="M94" s="4"/>
    </row>
    <row r="95" spans="9:13" ht="13.5" customHeight="1" x14ac:dyDescent="0.25">
      <c r="I95" s="81"/>
      <c r="J95" s="81"/>
      <c r="L95" s="4"/>
      <c r="M95" s="4"/>
    </row>
    <row r="96" spans="9:13" ht="13.5" customHeight="1" x14ac:dyDescent="0.25">
      <c r="I96" s="81"/>
      <c r="J96" s="81"/>
      <c r="L96" s="4"/>
      <c r="M96" s="4"/>
    </row>
    <row r="97" spans="6:10" ht="13.5" customHeight="1" x14ac:dyDescent="0.25">
      <c r="F97" s="89"/>
      <c r="G97" s="93"/>
      <c r="I97" s="81"/>
      <c r="J97" s="81"/>
    </row>
    <row r="98" spans="6:10" ht="13.5" customHeight="1" x14ac:dyDescent="0.25">
      <c r="F98" s="89"/>
      <c r="G98" s="93"/>
      <c r="I98" s="81"/>
      <c r="J98" s="81"/>
    </row>
    <row r="99" spans="6:10" ht="13.5" customHeight="1" x14ac:dyDescent="0.25">
      <c r="F99" s="89"/>
      <c r="G99" s="93"/>
      <c r="I99" s="81"/>
      <c r="J99" s="81"/>
    </row>
    <row r="100" spans="6:10" ht="13.5" customHeight="1" x14ac:dyDescent="0.25">
      <c r="F100" s="89"/>
      <c r="G100" s="93"/>
      <c r="I100" s="81"/>
      <c r="J100" s="81"/>
    </row>
    <row r="101" spans="6:10" ht="13.5" customHeight="1" x14ac:dyDescent="0.25">
      <c r="F101" s="88"/>
      <c r="G101" s="81"/>
      <c r="I101" s="81"/>
      <c r="J101" s="81"/>
    </row>
    <row r="102" spans="6:10" ht="13.5" customHeight="1" x14ac:dyDescent="0.25">
      <c r="F102" s="89"/>
      <c r="G102" s="81"/>
      <c r="I102" s="81"/>
      <c r="J102" s="81"/>
    </row>
    <row r="103" spans="6:10" ht="13.5" customHeight="1" x14ac:dyDescent="0.25">
      <c r="F103" s="75"/>
      <c r="I103" s="81"/>
      <c r="J103" s="81"/>
    </row>
    <row r="104" spans="6:10" ht="13.5" customHeight="1" x14ac:dyDescent="0.25">
      <c r="I104" s="81"/>
      <c r="J104" s="81"/>
    </row>
    <row r="105" spans="6:10" ht="13.5" customHeight="1" x14ac:dyDescent="0.25">
      <c r="I105" s="81"/>
      <c r="J105" s="81"/>
    </row>
  </sheetData>
  <sheetProtection password="DFB1" sheet="1"/>
  <mergeCells count="1">
    <mergeCell ref="F9:G9"/>
  </mergeCells>
  <phoneticPr fontId="0" type="noConversion"/>
  <dataValidations count="3">
    <dataValidation type="list" allowBlank="1" showInputMessage="1" showErrorMessage="1" sqref="F34">
      <formula1>#REF!</formula1>
    </dataValidation>
    <dataValidation type="list" allowBlank="1" showInputMessage="1" showErrorMessage="1" sqref="F30 F16">
      <formula1>$Y$2:$Y$45</formula1>
    </dataValidation>
    <dataValidation type="list" allowBlank="1" showInputMessage="1" showErrorMessage="1" sqref="F10">
      <formula1>$C$59:$C$62</formula1>
    </dataValidation>
  </dataValidations>
  <printOptions gridLines="1"/>
  <pageMargins left="0.74803149606299213" right="0.74803149606299213" top="0.98425196850393704" bottom="0.98425196850393704" header="0.51181102362204722" footer="0.51181102362204722"/>
  <pageSetup paperSize="9" scale="85" orientation="portrait"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136"/>
  <sheetViews>
    <sheetView topLeftCell="A13" zoomScale="85" zoomScaleNormal="85" workbookViewId="0">
      <selection activeCell="B2" sqref="B2"/>
    </sheetView>
  </sheetViews>
  <sheetFormatPr defaultColWidth="9.7109375" defaultRowHeight="13.5" customHeight="1" x14ac:dyDescent="0.25"/>
  <cols>
    <col min="1" max="1" width="3.7109375" style="1" customWidth="1"/>
    <col min="2" max="2" width="2.7109375" style="1" customWidth="1"/>
    <col min="3" max="3" width="2.5703125" style="1" customWidth="1"/>
    <col min="4" max="4" width="45.7109375" style="1" customWidth="1"/>
    <col min="5" max="5" width="2.85546875" style="1" customWidth="1"/>
    <col min="6" max="7" width="14.85546875" style="1" customWidth="1"/>
    <col min="8" max="8" width="14.42578125" style="1" customWidth="1"/>
    <col min="9" max="10" width="2.7109375" style="1" customWidth="1"/>
    <col min="11" max="49" width="10.7109375" style="1" customWidth="1"/>
    <col min="50" max="16384" width="9.7109375" style="1"/>
  </cols>
  <sheetData>
    <row r="2" spans="2:15" ht="13.5" customHeight="1" x14ac:dyDescent="0.25">
      <c r="B2" s="12"/>
      <c r="C2" s="13"/>
      <c r="D2" s="13"/>
      <c r="E2" s="13"/>
      <c r="F2" s="13"/>
      <c r="G2" s="13"/>
      <c r="H2" s="13"/>
      <c r="I2" s="13"/>
      <c r="J2" s="15"/>
    </row>
    <row r="3" spans="2:15" ht="13.5" customHeight="1" x14ac:dyDescent="0.25">
      <c r="B3" s="16"/>
      <c r="C3" s="17"/>
      <c r="D3" s="17"/>
      <c r="E3" s="17"/>
      <c r="F3" s="17"/>
      <c r="G3" s="17"/>
      <c r="H3" s="17"/>
      <c r="I3" s="17"/>
      <c r="J3" s="19"/>
    </row>
    <row r="4" spans="2:15" s="8" customFormat="1" ht="18" customHeight="1" x14ac:dyDescent="0.3">
      <c r="B4" s="29"/>
      <c r="C4" s="60" t="s">
        <v>218</v>
      </c>
      <c r="D4" s="72"/>
      <c r="E4" s="72"/>
      <c r="F4" s="62" t="str">
        <f>tabellen!B2</f>
        <v>2017/2018</v>
      </c>
      <c r="G4" s="60"/>
      <c r="H4" s="72"/>
      <c r="I4" s="72"/>
      <c r="J4" s="32"/>
    </row>
    <row r="5" spans="2:15" ht="13.5" customHeight="1" x14ac:dyDescent="0.25">
      <c r="B5" s="16"/>
      <c r="C5" s="17"/>
      <c r="D5" s="28"/>
      <c r="E5" s="17"/>
      <c r="F5" s="17"/>
      <c r="G5" s="17"/>
      <c r="H5" s="17"/>
      <c r="I5" s="17"/>
      <c r="J5" s="19"/>
    </row>
    <row r="6" spans="2:15" ht="13.5" customHeight="1" x14ac:dyDescent="0.25">
      <c r="B6" s="16"/>
      <c r="C6" s="17"/>
      <c r="D6" s="28"/>
      <c r="E6" s="17"/>
      <c r="F6" s="17"/>
      <c r="G6" s="17"/>
      <c r="H6" s="17"/>
      <c r="I6" s="17"/>
      <c r="J6" s="19"/>
    </row>
    <row r="7" spans="2:15" ht="13.5" customHeight="1" x14ac:dyDescent="0.25">
      <c r="B7" s="16"/>
      <c r="C7" s="106"/>
      <c r="D7" s="132"/>
      <c r="E7" s="107"/>
      <c r="F7" s="107"/>
      <c r="G7" s="107"/>
      <c r="H7" s="107"/>
      <c r="I7" s="110"/>
      <c r="J7" s="19"/>
    </row>
    <row r="8" spans="2:15" ht="13.5" customHeight="1" x14ac:dyDescent="0.25">
      <c r="B8" s="16"/>
      <c r="C8" s="117"/>
      <c r="D8" s="112" t="s">
        <v>160</v>
      </c>
      <c r="E8" s="114"/>
      <c r="F8" s="114"/>
      <c r="G8" s="114"/>
      <c r="H8" s="114"/>
      <c r="I8" s="116"/>
      <c r="J8" s="19"/>
    </row>
    <row r="9" spans="2:15" ht="13.5" customHeight="1" x14ac:dyDescent="0.25">
      <c r="B9" s="16"/>
      <c r="C9" s="117"/>
      <c r="D9" s="120"/>
      <c r="E9" s="114"/>
      <c r="F9" s="114"/>
      <c r="G9" s="114"/>
      <c r="H9" s="114"/>
      <c r="I9" s="116"/>
      <c r="J9" s="19"/>
    </row>
    <row r="10" spans="2:15" ht="13.5" customHeight="1" x14ac:dyDescent="0.25">
      <c r="B10" s="16"/>
      <c r="C10" s="111"/>
      <c r="D10" s="114" t="s">
        <v>117</v>
      </c>
      <c r="E10" s="114"/>
      <c r="F10" s="707" t="s">
        <v>32</v>
      </c>
      <c r="G10" s="707"/>
      <c r="H10" s="114"/>
      <c r="I10" s="116"/>
      <c r="J10" s="19"/>
      <c r="O10" s="5"/>
    </row>
    <row r="11" spans="2:15" ht="13.5" customHeight="1" x14ac:dyDescent="0.25">
      <c r="B11" s="16"/>
      <c r="C11" s="111"/>
      <c r="D11" s="120"/>
      <c r="E11" s="114"/>
      <c r="F11" s="139"/>
      <c r="G11" s="139"/>
      <c r="H11" s="114"/>
      <c r="I11" s="116"/>
      <c r="J11" s="19"/>
      <c r="O11" s="5"/>
    </row>
    <row r="12" spans="2:15" ht="13.5" customHeight="1" x14ac:dyDescent="0.25">
      <c r="B12" s="16"/>
      <c r="C12" s="111"/>
      <c r="D12" s="120" t="s">
        <v>23</v>
      </c>
      <c r="E12" s="114"/>
      <c r="F12" s="114"/>
      <c r="G12" s="114"/>
      <c r="H12" s="114"/>
      <c r="I12" s="116"/>
      <c r="J12" s="19"/>
      <c r="O12" s="5"/>
    </row>
    <row r="13" spans="2:15" ht="13.5" customHeight="1" x14ac:dyDescent="0.25">
      <c r="B13" s="16"/>
      <c r="C13" s="111"/>
      <c r="D13" s="114" t="s">
        <v>21</v>
      </c>
      <c r="E13" s="114"/>
      <c r="F13" s="118" t="s">
        <v>0</v>
      </c>
      <c r="G13" s="114"/>
      <c r="H13" s="114"/>
      <c r="I13" s="116"/>
      <c r="J13" s="19"/>
    </row>
    <row r="14" spans="2:15" ht="13.5" customHeight="1" x14ac:dyDescent="0.25">
      <c r="B14" s="16"/>
      <c r="C14" s="111"/>
      <c r="D14" s="114" t="s">
        <v>22</v>
      </c>
      <c r="E14" s="114"/>
      <c r="F14" s="118">
        <v>10</v>
      </c>
      <c r="G14" s="218" t="s">
        <v>148</v>
      </c>
      <c r="H14" s="219">
        <f>VLOOKUP(F13,salaristabellen,22,FALSE)</f>
        <v>15</v>
      </c>
      <c r="I14" s="116"/>
      <c r="J14" s="19"/>
    </row>
    <row r="15" spans="2:15" ht="13.5" customHeight="1" x14ac:dyDescent="0.25">
      <c r="B15" s="16"/>
      <c r="C15" s="111"/>
      <c r="D15" s="114" t="s">
        <v>24</v>
      </c>
      <c r="E15" s="114"/>
      <c r="F15" s="274">
        <f>VLOOKUP(F13,salaristabellen,F14+1,FALSE)</f>
        <v>3009</v>
      </c>
      <c r="G15" s="114"/>
      <c r="H15" s="114"/>
      <c r="I15" s="116"/>
      <c r="J15" s="19"/>
    </row>
    <row r="16" spans="2:15" ht="13.5" customHeight="1" x14ac:dyDescent="0.25">
      <c r="B16" s="16"/>
      <c r="C16" s="111"/>
      <c r="D16" s="120" t="s">
        <v>25</v>
      </c>
      <c r="E16" s="114"/>
      <c r="F16" s="220">
        <v>1</v>
      </c>
      <c r="G16" s="114"/>
      <c r="H16" s="114"/>
      <c r="I16" s="116"/>
      <c r="J16" s="19"/>
    </row>
    <row r="17" spans="2:13" ht="13.5" customHeight="1" x14ac:dyDescent="0.25">
      <c r="B17" s="16"/>
      <c r="C17" s="111"/>
      <c r="D17" s="114" t="s">
        <v>26</v>
      </c>
      <c r="E17" s="114"/>
      <c r="F17" s="273">
        <f>+F15*F16</f>
        <v>3009</v>
      </c>
      <c r="G17" s="114"/>
      <c r="H17" s="114"/>
      <c r="I17" s="116"/>
      <c r="J17" s="19"/>
    </row>
    <row r="18" spans="2:13" ht="13.5" customHeight="1" x14ac:dyDescent="0.25">
      <c r="B18" s="16"/>
      <c r="C18" s="111"/>
      <c r="D18" s="114"/>
      <c r="E18" s="114"/>
      <c r="F18" s="113"/>
      <c r="G18" s="114"/>
      <c r="H18" s="114"/>
      <c r="I18" s="116"/>
      <c r="J18" s="19"/>
    </row>
    <row r="19" spans="2:13" ht="13.5" customHeight="1" x14ac:dyDescent="0.25">
      <c r="B19" s="16"/>
      <c r="C19" s="111"/>
      <c r="D19" s="120" t="s">
        <v>161</v>
      </c>
      <c r="E19" s="114"/>
      <c r="F19" s="113"/>
      <c r="G19" s="114"/>
      <c r="H19" s="114"/>
      <c r="I19" s="116"/>
      <c r="J19" s="19"/>
    </row>
    <row r="20" spans="2:13" ht="13.5" customHeight="1" x14ac:dyDescent="0.25">
      <c r="B20" s="16"/>
      <c r="C20" s="111"/>
      <c r="D20" s="114" t="s">
        <v>162</v>
      </c>
      <c r="E20" s="114"/>
      <c r="F20" s="118" t="s">
        <v>119</v>
      </c>
      <c r="G20" s="114"/>
      <c r="H20" s="114"/>
      <c r="I20" s="116"/>
      <c r="J20" s="19"/>
    </row>
    <row r="21" spans="2:13" ht="13.5" customHeight="1" x14ac:dyDescent="0.25">
      <c r="B21" s="16"/>
      <c r="C21" s="111"/>
      <c r="D21" s="114" t="s">
        <v>163</v>
      </c>
      <c r="E21" s="114"/>
      <c r="F21" s="118" t="s">
        <v>119</v>
      </c>
      <c r="G21" s="114"/>
      <c r="H21" s="114"/>
      <c r="I21" s="116"/>
      <c r="J21" s="19"/>
    </row>
    <row r="22" spans="2:13" ht="13.5" customHeight="1" x14ac:dyDescent="0.25">
      <c r="B22" s="16"/>
      <c r="C22" s="111"/>
      <c r="D22" s="114" t="s">
        <v>164</v>
      </c>
      <c r="E22" s="114"/>
      <c r="F22" s="118" t="s">
        <v>116</v>
      </c>
      <c r="G22" s="115"/>
      <c r="H22" s="115"/>
      <c r="I22" s="221"/>
      <c r="J22" s="27"/>
      <c r="K22" s="3"/>
      <c r="L22" s="3"/>
      <c r="M22" s="3"/>
    </row>
    <row r="23" spans="2:13" ht="13.5" customHeight="1" x14ac:dyDescent="0.25">
      <c r="B23" s="16"/>
      <c r="C23" s="111"/>
      <c r="D23" s="114" t="s">
        <v>165</v>
      </c>
      <c r="E23" s="114"/>
      <c r="F23" s="118">
        <v>2</v>
      </c>
      <c r="G23" s="115"/>
      <c r="H23" s="115"/>
      <c r="I23" s="221"/>
      <c r="J23" s="27"/>
      <c r="K23" s="3"/>
      <c r="L23" s="3"/>
      <c r="M23" s="3"/>
    </row>
    <row r="24" spans="2:13" ht="13.5" customHeight="1" x14ac:dyDescent="0.25">
      <c r="B24" s="16"/>
      <c r="C24" s="111"/>
      <c r="D24" s="114"/>
      <c r="E24" s="114"/>
      <c r="F24" s="113"/>
      <c r="G24" s="115"/>
      <c r="H24" s="115"/>
      <c r="I24" s="221"/>
      <c r="J24" s="27"/>
      <c r="K24" s="3"/>
      <c r="L24" s="3"/>
      <c r="M24" s="3"/>
    </row>
    <row r="25" spans="2:13" ht="13.5" customHeight="1" x14ac:dyDescent="0.25">
      <c r="B25" s="16"/>
      <c r="C25" s="111"/>
      <c r="D25" s="114" t="s">
        <v>166</v>
      </c>
      <c r="E25" s="114"/>
      <c r="F25" s="169">
        <f>IF(F14+F23&gt;H14,"verkeerde invoer",(VLOOKUP(F13,salaristabellen,F14+F23+1,FALSE)-VLOOKUP(F13,salaristabellen,F14+1,FALSE))*F16)</f>
        <v>185</v>
      </c>
      <c r="G25" s="115"/>
      <c r="H25" s="115"/>
      <c r="I25" s="221"/>
      <c r="J25" s="27"/>
      <c r="K25" s="3"/>
      <c r="L25" s="3"/>
      <c r="M25" s="3"/>
    </row>
    <row r="26" spans="2:13" ht="13.5" customHeight="1" x14ac:dyDescent="0.25">
      <c r="B26" s="16"/>
      <c r="C26" s="111"/>
      <c r="D26" s="114" t="s">
        <v>154</v>
      </c>
      <c r="E26" s="114"/>
      <c r="F26" s="206">
        <v>0.59</v>
      </c>
      <c r="G26" s="115"/>
      <c r="H26" s="115"/>
      <c r="I26" s="221"/>
      <c r="J26" s="27"/>
      <c r="K26" s="3"/>
      <c r="L26" s="3"/>
      <c r="M26" s="3"/>
    </row>
    <row r="27" spans="2:13" ht="13.5" customHeight="1" x14ac:dyDescent="0.25">
      <c r="B27" s="16"/>
      <c r="C27" s="111"/>
      <c r="D27" s="114" t="s">
        <v>155</v>
      </c>
      <c r="E27" s="114"/>
      <c r="F27" s="273">
        <f>+F25*12*(1+F26)</f>
        <v>3529.7999999999997</v>
      </c>
      <c r="G27" s="115"/>
      <c r="H27" s="115"/>
      <c r="I27" s="221"/>
      <c r="J27" s="27"/>
      <c r="K27" s="3"/>
      <c r="L27" s="3"/>
      <c r="M27" s="3"/>
    </row>
    <row r="28" spans="2:13" ht="13.5" customHeight="1" x14ac:dyDescent="0.25">
      <c r="B28" s="16"/>
      <c r="C28" s="111"/>
      <c r="D28" s="114" t="s">
        <v>167</v>
      </c>
      <c r="E28" s="114"/>
      <c r="F28" s="224">
        <f>IF(F23=0,0,+(H14-F14))</f>
        <v>5</v>
      </c>
      <c r="G28" s="115"/>
      <c r="H28" s="115"/>
      <c r="I28" s="221"/>
      <c r="J28" s="27"/>
      <c r="K28" s="3"/>
      <c r="L28" s="3"/>
      <c r="M28" s="3"/>
    </row>
    <row r="29" spans="2:13" ht="13.5" customHeight="1" x14ac:dyDescent="0.25">
      <c r="B29" s="16"/>
      <c r="C29" s="111"/>
      <c r="D29" s="114" t="s">
        <v>157</v>
      </c>
      <c r="E29" s="114"/>
      <c r="F29" s="225">
        <f>+U79*F16</f>
        <v>3266.4960000000005</v>
      </c>
      <c r="G29" s="125"/>
      <c r="H29" s="115"/>
      <c r="I29" s="221"/>
      <c r="J29" s="19"/>
    </row>
    <row r="30" spans="2:13" ht="13.5" customHeight="1" x14ac:dyDescent="0.25">
      <c r="B30" s="16"/>
      <c r="C30" s="111"/>
      <c r="D30" s="114"/>
      <c r="E30" s="114"/>
      <c r="F30" s="226"/>
      <c r="G30" s="125"/>
      <c r="H30" s="115"/>
      <c r="I30" s="221"/>
      <c r="J30" s="19"/>
    </row>
    <row r="31" spans="2:13" ht="13.5" customHeight="1" x14ac:dyDescent="0.25">
      <c r="B31" s="16"/>
      <c r="C31" s="111"/>
      <c r="D31" s="120" t="s">
        <v>168</v>
      </c>
      <c r="E31" s="114"/>
      <c r="F31" s="227">
        <f>+U78*F16</f>
        <v>16332.480000000003</v>
      </c>
      <c r="G31" s="114"/>
      <c r="H31" s="115"/>
      <c r="I31" s="221"/>
      <c r="J31" s="19"/>
    </row>
    <row r="32" spans="2:13" ht="13.5" customHeight="1" x14ac:dyDescent="0.25">
      <c r="B32" s="16"/>
      <c r="C32" s="128"/>
      <c r="D32" s="129"/>
      <c r="E32" s="129"/>
      <c r="F32" s="129"/>
      <c r="G32" s="129"/>
      <c r="H32" s="150"/>
      <c r="I32" s="222"/>
      <c r="J32" s="19"/>
    </row>
    <row r="33" spans="2:10" ht="13.5" customHeight="1" x14ac:dyDescent="0.25">
      <c r="B33" s="16"/>
      <c r="C33" s="17"/>
      <c r="D33" s="17"/>
      <c r="E33" s="17"/>
      <c r="F33" s="17"/>
      <c r="G33" s="17"/>
      <c r="H33" s="20"/>
      <c r="I33" s="20"/>
      <c r="J33" s="19"/>
    </row>
    <row r="34" spans="2:10" ht="13.5" customHeight="1" x14ac:dyDescent="0.25">
      <c r="B34" s="16"/>
      <c r="C34" s="106"/>
      <c r="D34" s="107"/>
      <c r="E34" s="107"/>
      <c r="F34" s="107"/>
      <c r="G34" s="107"/>
      <c r="H34" s="109"/>
      <c r="I34" s="223"/>
      <c r="J34" s="19"/>
    </row>
    <row r="35" spans="2:10" ht="13.5" customHeight="1" x14ac:dyDescent="0.25">
      <c r="B35" s="16"/>
      <c r="C35" s="111"/>
      <c r="D35" s="136" t="s">
        <v>169</v>
      </c>
      <c r="E35" s="115"/>
      <c r="F35" s="115"/>
      <c r="G35" s="115"/>
      <c r="H35" s="115"/>
      <c r="I35" s="221"/>
      <c r="J35" s="19"/>
    </row>
    <row r="36" spans="2:10" ht="13.5" customHeight="1" x14ac:dyDescent="0.25">
      <c r="B36" s="16"/>
      <c r="C36" s="111"/>
      <c r="D36" s="136"/>
      <c r="E36" s="115"/>
      <c r="F36" s="115"/>
      <c r="G36" s="115"/>
      <c r="H36" s="115"/>
      <c r="I36" s="221"/>
      <c r="J36" s="19"/>
    </row>
    <row r="37" spans="2:10" ht="13.5" customHeight="1" x14ac:dyDescent="0.25">
      <c r="B37" s="16"/>
      <c r="C37" s="111"/>
      <c r="D37" s="115" t="s">
        <v>176</v>
      </c>
      <c r="E37" s="114"/>
      <c r="F37" s="138" t="s">
        <v>170</v>
      </c>
      <c r="G37" s="138"/>
      <c r="H37" s="139"/>
      <c r="I37" s="221"/>
      <c r="J37" s="19"/>
    </row>
    <row r="38" spans="2:10" ht="13.5" customHeight="1" x14ac:dyDescent="0.25">
      <c r="B38" s="16"/>
      <c r="C38" s="111"/>
      <c r="D38" s="115"/>
      <c r="E38" s="114"/>
      <c r="F38" s="228"/>
      <c r="G38" s="139"/>
      <c r="H38" s="139"/>
      <c r="I38" s="221"/>
      <c r="J38" s="19"/>
    </row>
    <row r="39" spans="2:10" ht="13.5" customHeight="1" x14ac:dyDescent="0.25">
      <c r="B39" s="16"/>
      <c r="C39" s="111"/>
      <c r="D39" s="176" t="s">
        <v>132</v>
      </c>
      <c r="E39" s="115"/>
      <c r="F39" s="115"/>
      <c r="G39" s="115"/>
      <c r="H39" s="115"/>
      <c r="I39" s="221"/>
      <c r="J39" s="19"/>
    </row>
    <row r="40" spans="2:10" ht="13.5" customHeight="1" x14ac:dyDescent="0.25">
      <c r="B40" s="16"/>
      <c r="C40" s="111"/>
      <c r="D40" s="115" t="s">
        <v>133</v>
      </c>
      <c r="E40" s="115"/>
      <c r="F40" s="202">
        <v>500</v>
      </c>
      <c r="G40" s="115"/>
      <c r="H40" s="115"/>
      <c r="I40" s="221"/>
      <c r="J40" s="19"/>
    </row>
    <row r="41" spans="2:10" ht="13.5" customHeight="1" x14ac:dyDescent="0.25">
      <c r="B41" s="16"/>
      <c r="C41" s="111"/>
      <c r="D41" s="115" t="s">
        <v>135</v>
      </c>
      <c r="E41" s="115"/>
      <c r="F41" s="206">
        <v>0.73899999999999999</v>
      </c>
      <c r="G41" s="115"/>
      <c r="H41" s="115"/>
      <c r="I41" s="221"/>
      <c r="J41" s="19"/>
    </row>
    <row r="42" spans="2:10" ht="13.5" customHeight="1" x14ac:dyDescent="0.25">
      <c r="B42" s="16"/>
      <c r="C42" s="111"/>
      <c r="D42" s="115" t="s">
        <v>171</v>
      </c>
      <c r="E42" s="115"/>
      <c r="F42" s="229">
        <f>ROUND(+F40*F41,0)</f>
        <v>370</v>
      </c>
      <c r="G42" s="115"/>
      <c r="H42" s="115"/>
      <c r="I42" s="221"/>
      <c r="J42" s="19"/>
    </row>
    <row r="43" spans="2:10" ht="13.5" customHeight="1" x14ac:dyDescent="0.25">
      <c r="B43" s="16"/>
      <c r="C43" s="111"/>
      <c r="D43" s="115"/>
      <c r="E43" s="115"/>
      <c r="F43" s="127"/>
      <c r="G43" s="115"/>
      <c r="H43" s="115"/>
      <c r="I43" s="221"/>
      <c r="J43" s="19"/>
    </row>
    <row r="44" spans="2:10" ht="13.5" customHeight="1" x14ac:dyDescent="0.25">
      <c r="B44" s="16"/>
      <c r="C44" s="111"/>
      <c r="D44" s="115" t="s">
        <v>172</v>
      </c>
      <c r="E44" s="115"/>
      <c r="F44" s="230">
        <v>0.02</v>
      </c>
      <c r="G44" s="115"/>
      <c r="H44" s="115"/>
      <c r="I44" s="231"/>
      <c r="J44" s="77"/>
    </row>
    <row r="45" spans="2:10" ht="13.5" customHeight="1" x14ac:dyDescent="0.25">
      <c r="B45" s="16"/>
      <c r="C45" s="111"/>
      <c r="D45" s="115" t="s">
        <v>171</v>
      </c>
      <c r="E45" s="115"/>
      <c r="F45" s="210">
        <f>ROUND(+F42*F44,0)</f>
        <v>7</v>
      </c>
      <c r="G45" s="115"/>
      <c r="H45" s="115"/>
      <c r="I45" s="231"/>
      <c r="J45" s="77"/>
    </row>
    <row r="46" spans="2:10" ht="13.5" customHeight="1" x14ac:dyDescent="0.25">
      <c r="B46" s="16"/>
      <c r="C46" s="111"/>
      <c r="D46" s="115" t="s">
        <v>173</v>
      </c>
      <c r="E46" s="115"/>
      <c r="F46" s="232">
        <v>2400</v>
      </c>
      <c r="G46" s="115"/>
      <c r="H46" s="115"/>
      <c r="I46" s="231"/>
      <c r="J46" s="77"/>
    </row>
    <row r="47" spans="2:10" ht="13.5" customHeight="1" x14ac:dyDescent="0.25">
      <c r="B47" s="16"/>
      <c r="C47" s="111"/>
      <c r="D47" s="115"/>
      <c r="E47" s="115"/>
      <c r="F47" s="233"/>
      <c r="G47" s="115"/>
      <c r="H47" s="115"/>
      <c r="I47" s="231"/>
      <c r="J47" s="77"/>
    </row>
    <row r="48" spans="2:10" s="2" customFormat="1" ht="13.5" customHeight="1" x14ac:dyDescent="0.25">
      <c r="B48" s="23"/>
      <c r="C48" s="117"/>
      <c r="D48" s="142" t="s">
        <v>174</v>
      </c>
      <c r="E48" s="142"/>
      <c r="F48" s="214">
        <f>+F45*F46</f>
        <v>16800</v>
      </c>
      <c r="G48" s="142"/>
      <c r="H48" s="142"/>
      <c r="I48" s="234"/>
      <c r="J48" s="78"/>
    </row>
    <row r="49" spans="2:23" ht="13.5" customHeight="1" x14ac:dyDescent="0.25">
      <c r="B49" s="16"/>
      <c r="C49" s="128"/>
      <c r="D49" s="235"/>
      <c r="E49" s="150"/>
      <c r="F49" s="150"/>
      <c r="G49" s="150"/>
      <c r="H49" s="150"/>
      <c r="I49" s="236"/>
      <c r="J49" s="77"/>
    </row>
    <row r="50" spans="2:23" ht="13.5" customHeight="1" x14ac:dyDescent="0.25">
      <c r="B50" s="16"/>
      <c r="C50" s="17"/>
      <c r="D50" s="17"/>
      <c r="E50" s="17"/>
      <c r="F50" s="17"/>
      <c r="G50" s="17"/>
      <c r="H50" s="17"/>
      <c r="I50" s="33"/>
      <c r="J50" s="77"/>
    </row>
    <row r="51" spans="2:23" ht="13.5" customHeight="1" x14ac:dyDescent="0.25">
      <c r="B51" s="16"/>
      <c r="C51" s="17"/>
      <c r="D51" s="17"/>
      <c r="E51" s="17"/>
      <c r="F51" s="17"/>
      <c r="G51" s="17"/>
      <c r="H51" s="17"/>
      <c r="I51" s="33"/>
      <c r="J51" s="77"/>
    </row>
    <row r="52" spans="2:23" ht="13.5" customHeight="1" x14ac:dyDescent="0.25">
      <c r="B52" s="58"/>
      <c r="C52" s="59"/>
      <c r="D52" s="59"/>
      <c r="E52" s="59"/>
      <c r="F52" s="59"/>
      <c r="G52" s="59"/>
      <c r="H52" s="59"/>
      <c r="I52" s="79" t="s">
        <v>211</v>
      </c>
      <c r="J52" s="80"/>
    </row>
    <row r="53" spans="2:23" ht="13.5" customHeight="1" x14ac:dyDescent="0.25">
      <c r="B53" s="101"/>
      <c r="C53" s="101"/>
      <c r="D53" s="101"/>
      <c r="E53" s="101"/>
      <c r="F53" s="101"/>
      <c r="G53" s="101"/>
      <c r="H53" s="101"/>
      <c r="I53" s="103"/>
      <c r="J53" s="102"/>
    </row>
    <row r="54" spans="2:23" ht="13.5" customHeight="1" x14ac:dyDescent="0.25">
      <c r="B54" s="101"/>
      <c r="C54" s="101"/>
      <c r="D54" s="101"/>
      <c r="E54" s="101"/>
      <c r="F54" s="101"/>
      <c r="G54" s="101"/>
      <c r="H54" s="101"/>
      <c r="I54" s="103"/>
      <c r="J54" s="102"/>
    </row>
    <row r="55" spans="2:23" ht="13.5" customHeight="1" x14ac:dyDescent="0.25">
      <c r="I55" s="81"/>
      <c r="J55" s="81"/>
      <c r="N55" s="1" t="s">
        <v>175</v>
      </c>
    </row>
    <row r="56" spans="2:23" ht="13.5" customHeight="1" x14ac:dyDescent="0.25">
      <c r="I56" s="81"/>
      <c r="J56" s="81"/>
      <c r="K56" s="4" t="s">
        <v>86</v>
      </c>
      <c r="L56" s="4"/>
      <c r="M56" s="4"/>
      <c r="N56" s="1" t="s">
        <v>21</v>
      </c>
      <c r="O56" s="1" t="s">
        <v>29</v>
      </c>
      <c r="P56" s="1" t="s">
        <v>28</v>
      </c>
      <c r="U56" s="1" t="s">
        <v>30</v>
      </c>
    </row>
    <row r="57" spans="2:23" ht="13.5" customHeight="1" x14ac:dyDescent="0.25">
      <c r="I57" s="81"/>
      <c r="J57" s="81"/>
      <c r="K57" s="4" t="s">
        <v>79</v>
      </c>
      <c r="L57" s="4"/>
      <c r="M57" s="4"/>
      <c r="N57" s="1" t="str">
        <f t="shared" ref="N57:N76" si="0">+$F$13</f>
        <v>LA</v>
      </c>
      <c r="O57" s="1">
        <f t="shared" ref="O57:O76" si="1">+$F$14+$F$23+W57</f>
        <v>12</v>
      </c>
      <c r="P57" s="1">
        <f t="shared" ref="P57:P76" si="2">+$F$14+W57</f>
        <v>10</v>
      </c>
      <c r="R57" s="6">
        <f t="shared" ref="R57:R76" si="3">IF(O57&gt;$H$14,VLOOKUP($N57,salaristabellen,$H$14+1,FALSE),VLOOKUP($N57,salaristabellen,O57+1,FALSE))*12*(1+F$26)</f>
        <v>60941.52</v>
      </c>
      <c r="S57" s="6">
        <f t="shared" ref="S57:S76" si="4">IF(P57&gt;$H$14,VLOOKUP($N57,salaristabellen,$H$14+1,FALSE),VLOOKUP($N57,salaristabellen,P57+1,FALSE))*12*(1+F$26)</f>
        <v>57411.719999999994</v>
      </c>
      <c r="U57" s="6">
        <f>+R57-S57</f>
        <v>3529.8000000000029</v>
      </c>
      <c r="W57" s="1">
        <v>0</v>
      </c>
    </row>
    <row r="58" spans="2:23" ht="13.5" customHeight="1" x14ac:dyDescent="0.25">
      <c r="I58" s="81"/>
      <c r="J58" s="81"/>
      <c r="K58" s="4" t="s">
        <v>80</v>
      </c>
      <c r="L58" s="4"/>
      <c r="M58" s="4"/>
      <c r="N58" s="1" t="str">
        <f t="shared" si="0"/>
        <v>LA</v>
      </c>
      <c r="O58" s="1">
        <f t="shared" si="1"/>
        <v>13</v>
      </c>
      <c r="P58" s="1">
        <f t="shared" si="2"/>
        <v>11</v>
      </c>
      <c r="R58" s="6">
        <f t="shared" si="3"/>
        <v>62887.679999999993</v>
      </c>
      <c r="S58" s="6">
        <f t="shared" si="4"/>
        <v>59128.92</v>
      </c>
      <c r="U58" s="6">
        <f t="shared" ref="U58:U76" si="5">+R58-S58</f>
        <v>3758.7599999999948</v>
      </c>
      <c r="W58" s="1">
        <v>1</v>
      </c>
    </row>
    <row r="59" spans="2:23" ht="13.5" customHeight="1" x14ac:dyDescent="0.25">
      <c r="I59" s="81"/>
      <c r="J59" s="81"/>
      <c r="K59" s="4" t="s">
        <v>81</v>
      </c>
      <c r="L59" s="4"/>
      <c r="M59" s="4"/>
      <c r="N59" s="1" t="str">
        <f t="shared" si="0"/>
        <v>LA</v>
      </c>
      <c r="O59" s="1">
        <f t="shared" si="1"/>
        <v>14</v>
      </c>
      <c r="P59" s="1">
        <f t="shared" si="2"/>
        <v>12</v>
      </c>
      <c r="R59" s="6">
        <f t="shared" si="3"/>
        <v>64891.079999999994</v>
      </c>
      <c r="S59" s="6">
        <f t="shared" si="4"/>
        <v>60941.52</v>
      </c>
      <c r="U59" s="6">
        <f t="shared" si="5"/>
        <v>3949.5599999999977</v>
      </c>
      <c r="W59" s="1">
        <v>2</v>
      </c>
    </row>
    <row r="60" spans="2:23" ht="13.5" customHeight="1" x14ac:dyDescent="0.25">
      <c r="I60" s="81"/>
      <c r="J60" s="81"/>
      <c r="K60" s="4" t="s">
        <v>82</v>
      </c>
      <c r="L60" s="4"/>
      <c r="M60" s="4"/>
      <c r="N60" s="1" t="str">
        <f t="shared" si="0"/>
        <v>LA</v>
      </c>
      <c r="O60" s="1">
        <f t="shared" si="1"/>
        <v>15</v>
      </c>
      <c r="P60" s="1">
        <f t="shared" si="2"/>
        <v>13</v>
      </c>
      <c r="R60" s="6">
        <f t="shared" si="3"/>
        <v>66436.56</v>
      </c>
      <c r="S60" s="6">
        <f t="shared" si="4"/>
        <v>62887.679999999993</v>
      </c>
      <c r="U60" s="6">
        <f t="shared" si="5"/>
        <v>3548.8800000000047</v>
      </c>
      <c r="W60" s="1">
        <v>3</v>
      </c>
    </row>
    <row r="61" spans="2:23" ht="13.5" customHeight="1" x14ac:dyDescent="0.25">
      <c r="I61" s="81"/>
      <c r="J61" s="81"/>
      <c r="K61" s="4" t="s">
        <v>83</v>
      </c>
      <c r="L61" s="4"/>
      <c r="M61" s="4"/>
      <c r="N61" s="1" t="str">
        <f t="shared" si="0"/>
        <v>LA</v>
      </c>
      <c r="O61" s="1">
        <f t="shared" si="1"/>
        <v>16</v>
      </c>
      <c r="P61" s="1">
        <f t="shared" si="2"/>
        <v>14</v>
      </c>
      <c r="R61" s="6">
        <f t="shared" si="3"/>
        <v>66436.56</v>
      </c>
      <c r="S61" s="6">
        <f t="shared" si="4"/>
        <v>64891.079999999994</v>
      </c>
      <c r="U61" s="6">
        <f t="shared" si="5"/>
        <v>1545.4800000000032</v>
      </c>
      <c r="W61" s="1">
        <v>4</v>
      </c>
    </row>
    <row r="62" spans="2:23" ht="13.5" customHeight="1" x14ac:dyDescent="0.25">
      <c r="I62" s="81"/>
      <c r="J62" s="81"/>
      <c r="K62" s="4" t="s">
        <v>84</v>
      </c>
      <c r="L62" s="4"/>
      <c r="M62" s="4"/>
      <c r="N62" s="1" t="str">
        <f t="shared" si="0"/>
        <v>LA</v>
      </c>
      <c r="O62" s="1">
        <f t="shared" si="1"/>
        <v>17</v>
      </c>
      <c r="P62" s="1">
        <f t="shared" si="2"/>
        <v>15</v>
      </c>
      <c r="R62" s="6">
        <f t="shared" si="3"/>
        <v>66436.56</v>
      </c>
      <c r="S62" s="6">
        <f t="shared" si="4"/>
        <v>66436.56</v>
      </c>
      <c r="U62" s="6">
        <f t="shared" si="5"/>
        <v>0</v>
      </c>
      <c r="W62" s="1">
        <v>5</v>
      </c>
    </row>
    <row r="63" spans="2:23" ht="13.5" customHeight="1" x14ac:dyDescent="0.25">
      <c r="I63" s="81"/>
      <c r="J63" s="81"/>
      <c r="K63" s="4" t="s">
        <v>85</v>
      </c>
      <c r="L63" s="73"/>
      <c r="M63" s="73"/>
      <c r="N63" s="1" t="str">
        <f t="shared" si="0"/>
        <v>LA</v>
      </c>
      <c r="O63" s="1">
        <f t="shared" si="1"/>
        <v>18</v>
      </c>
      <c r="P63" s="1">
        <f t="shared" si="2"/>
        <v>16</v>
      </c>
      <c r="R63" s="6">
        <f t="shared" si="3"/>
        <v>66436.56</v>
      </c>
      <c r="S63" s="6">
        <f t="shared" si="4"/>
        <v>66436.56</v>
      </c>
      <c r="U63" s="6">
        <f t="shared" si="5"/>
        <v>0</v>
      </c>
      <c r="W63" s="1">
        <v>6</v>
      </c>
    </row>
    <row r="64" spans="2:23" ht="13.5" customHeight="1" x14ac:dyDescent="0.25">
      <c r="I64" s="81"/>
      <c r="J64" s="81"/>
      <c r="K64" s="4" t="s">
        <v>3</v>
      </c>
      <c r="L64" s="73"/>
      <c r="M64" s="73"/>
      <c r="N64" s="1" t="str">
        <f t="shared" si="0"/>
        <v>LA</v>
      </c>
      <c r="O64" s="1">
        <f t="shared" si="1"/>
        <v>19</v>
      </c>
      <c r="P64" s="1">
        <f t="shared" si="2"/>
        <v>17</v>
      </c>
      <c r="R64" s="6">
        <f t="shared" si="3"/>
        <v>66436.56</v>
      </c>
      <c r="S64" s="6">
        <f t="shared" si="4"/>
        <v>66436.56</v>
      </c>
      <c r="U64" s="6">
        <f t="shared" si="5"/>
        <v>0</v>
      </c>
      <c r="W64" s="1">
        <v>7</v>
      </c>
    </row>
    <row r="65" spans="9:23" ht="13.5" customHeight="1" x14ac:dyDescent="0.25">
      <c r="I65" s="81"/>
      <c r="J65" s="81"/>
      <c r="K65" s="4" t="s">
        <v>4</v>
      </c>
      <c r="L65" s="4"/>
      <c r="M65" s="4"/>
      <c r="N65" s="1" t="str">
        <f t="shared" si="0"/>
        <v>LA</v>
      </c>
      <c r="O65" s="1">
        <f t="shared" si="1"/>
        <v>20</v>
      </c>
      <c r="P65" s="1">
        <f t="shared" si="2"/>
        <v>18</v>
      </c>
      <c r="R65" s="6">
        <f t="shared" si="3"/>
        <v>66436.56</v>
      </c>
      <c r="S65" s="6">
        <f t="shared" si="4"/>
        <v>66436.56</v>
      </c>
      <c r="U65" s="6">
        <f t="shared" si="5"/>
        <v>0</v>
      </c>
      <c r="W65" s="1">
        <v>8</v>
      </c>
    </row>
    <row r="66" spans="9:23" ht="13.5" customHeight="1" x14ac:dyDescent="0.25">
      <c r="I66" s="81"/>
      <c r="J66" s="81"/>
      <c r="K66" s="4" t="s">
        <v>5</v>
      </c>
      <c r="L66" s="4"/>
      <c r="M66" s="4"/>
      <c r="N66" s="1" t="str">
        <f t="shared" si="0"/>
        <v>LA</v>
      </c>
      <c r="O66" s="1">
        <f t="shared" si="1"/>
        <v>21</v>
      </c>
      <c r="P66" s="1">
        <f t="shared" si="2"/>
        <v>19</v>
      </c>
      <c r="R66" s="6">
        <f t="shared" si="3"/>
        <v>66436.56</v>
      </c>
      <c r="S66" s="6">
        <f t="shared" si="4"/>
        <v>66436.56</v>
      </c>
      <c r="U66" s="6">
        <f t="shared" si="5"/>
        <v>0</v>
      </c>
      <c r="W66" s="1">
        <v>9</v>
      </c>
    </row>
    <row r="67" spans="9:23" ht="13.5" customHeight="1" x14ac:dyDescent="0.25">
      <c r="I67" s="81"/>
      <c r="J67" s="81"/>
      <c r="K67" s="4" t="s">
        <v>6</v>
      </c>
      <c r="L67" s="4"/>
      <c r="M67" s="4"/>
      <c r="N67" s="1" t="str">
        <f t="shared" si="0"/>
        <v>LA</v>
      </c>
      <c r="O67" s="1">
        <f t="shared" si="1"/>
        <v>22</v>
      </c>
      <c r="P67" s="1">
        <f t="shared" si="2"/>
        <v>20</v>
      </c>
      <c r="R67" s="6">
        <f t="shared" si="3"/>
        <v>66436.56</v>
      </c>
      <c r="S67" s="6">
        <f t="shared" si="4"/>
        <v>66436.56</v>
      </c>
      <c r="U67" s="6">
        <f t="shared" si="5"/>
        <v>0</v>
      </c>
      <c r="W67" s="1">
        <v>10</v>
      </c>
    </row>
    <row r="68" spans="9:23" ht="13.5" customHeight="1" x14ac:dyDescent="0.25">
      <c r="I68" s="81"/>
      <c r="J68" s="81"/>
      <c r="K68" s="4" t="s">
        <v>7</v>
      </c>
      <c r="L68" s="4"/>
      <c r="M68" s="4"/>
      <c r="N68" s="1" t="str">
        <f t="shared" si="0"/>
        <v>LA</v>
      </c>
      <c r="O68" s="1">
        <f t="shared" si="1"/>
        <v>23</v>
      </c>
      <c r="P68" s="1">
        <f t="shared" si="2"/>
        <v>21</v>
      </c>
      <c r="R68" s="6">
        <f t="shared" si="3"/>
        <v>66436.56</v>
      </c>
      <c r="S68" s="6">
        <f t="shared" si="4"/>
        <v>66436.56</v>
      </c>
      <c r="U68" s="6">
        <f t="shared" si="5"/>
        <v>0</v>
      </c>
      <c r="W68" s="1">
        <v>11</v>
      </c>
    </row>
    <row r="69" spans="9:23" ht="13.5" customHeight="1" x14ac:dyDescent="0.25">
      <c r="I69" s="81"/>
      <c r="J69" s="81"/>
      <c r="K69" s="4" t="s">
        <v>8</v>
      </c>
      <c r="L69" s="4"/>
      <c r="M69" s="4"/>
      <c r="N69" s="1" t="str">
        <f t="shared" si="0"/>
        <v>LA</v>
      </c>
      <c r="O69" s="1">
        <f t="shared" si="1"/>
        <v>24</v>
      </c>
      <c r="P69" s="1">
        <f t="shared" si="2"/>
        <v>22</v>
      </c>
      <c r="R69" s="6">
        <f t="shared" si="3"/>
        <v>66436.56</v>
      </c>
      <c r="S69" s="6">
        <f t="shared" si="4"/>
        <v>66436.56</v>
      </c>
      <c r="U69" s="6">
        <f t="shared" si="5"/>
        <v>0</v>
      </c>
      <c r="W69" s="1">
        <v>12</v>
      </c>
    </row>
    <row r="70" spans="9:23" ht="13.5" customHeight="1" x14ac:dyDescent="0.25">
      <c r="I70" s="81"/>
      <c r="J70" s="81"/>
      <c r="K70" s="4" t="s">
        <v>9</v>
      </c>
      <c r="L70" s="4"/>
      <c r="M70" s="4"/>
      <c r="N70" s="1" t="str">
        <f t="shared" si="0"/>
        <v>LA</v>
      </c>
      <c r="O70" s="1">
        <f t="shared" si="1"/>
        <v>25</v>
      </c>
      <c r="P70" s="1">
        <f t="shared" si="2"/>
        <v>23</v>
      </c>
      <c r="R70" s="6">
        <f t="shared" si="3"/>
        <v>66436.56</v>
      </c>
      <c r="S70" s="6">
        <f t="shared" si="4"/>
        <v>66436.56</v>
      </c>
      <c r="U70" s="6">
        <f t="shared" si="5"/>
        <v>0</v>
      </c>
      <c r="W70" s="1">
        <v>13</v>
      </c>
    </row>
    <row r="71" spans="9:23" ht="13.5" customHeight="1" x14ac:dyDescent="0.25">
      <c r="I71" s="81"/>
      <c r="J71" s="81"/>
      <c r="K71" s="4" t="s">
        <v>10</v>
      </c>
      <c r="L71" s="4"/>
      <c r="M71" s="4"/>
      <c r="N71" s="1" t="str">
        <f t="shared" si="0"/>
        <v>LA</v>
      </c>
      <c r="O71" s="1">
        <f t="shared" si="1"/>
        <v>26</v>
      </c>
      <c r="P71" s="1">
        <f t="shared" si="2"/>
        <v>24</v>
      </c>
      <c r="R71" s="6">
        <f t="shared" si="3"/>
        <v>66436.56</v>
      </c>
      <c r="S71" s="6">
        <f t="shared" si="4"/>
        <v>66436.56</v>
      </c>
      <c r="U71" s="6">
        <f t="shared" si="5"/>
        <v>0</v>
      </c>
      <c r="W71" s="1">
        <v>14</v>
      </c>
    </row>
    <row r="72" spans="9:23" ht="13.5" customHeight="1" x14ac:dyDescent="0.25">
      <c r="I72" s="81"/>
      <c r="J72" s="81"/>
      <c r="K72" s="4" t="s">
        <v>11</v>
      </c>
      <c r="L72" s="4"/>
      <c r="M72" s="4"/>
      <c r="N72" s="1" t="str">
        <f t="shared" si="0"/>
        <v>LA</v>
      </c>
      <c r="O72" s="1">
        <f t="shared" si="1"/>
        <v>27</v>
      </c>
      <c r="P72" s="1">
        <f t="shared" si="2"/>
        <v>25</v>
      </c>
      <c r="R72" s="6">
        <f t="shared" si="3"/>
        <v>66436.56</v>
      </c>
      <c r="S72" s="6">
        <f t="shared" si="4"/>
        <v>66436.56</v>
      </c>
      <c r="U72" s="6">
        <f t="shared" si="5"/>
        <v>0</v>
      </c>
      <c r="W72" s="1">
        <v>15</v>
      </c>
    </row>
    <row r="73" spans="9:23" ht="13.5" customHeight="1" x14ac:dyDescent="0.25">
      <c r="I73" s="81"/>
      <c r="J73" s="81"/>
      <c r="K73" s="4" t="s">
        <v>12</v>
      </c>
      <c r="L73" s="4"/>
      <c r="M73" s="4"/>
      <c r="N73" s="1" t="str">
        <f t="shared" si="0"/>
        <v>LA</v>
      </c>
      <c r="O73" s="1">
        <f t="shared" si="1"/>
        <v>28</v>
      </c>
      <c r="P73" s="1">
        <f t="shared" si="2"/>
        <v>26</v>
      </c>
      <c r="R73" s="6">
        <f t="shared" si="3"/>
        <v>66436.56</v>
      </c>
      <c r="S73" s="6">
        <f t="shared" si="4"/>
        <v>66436.56</v>
      </c>
      <c r="U73" s="6">
        <f t="shared" si="5"/>
        <v>0</v>
      </c>
      <c r="W73" s="1">
        <v>16</v>
      </c>
    </row>
    <row r="74" spans="9:23" ht="13.5" customHeight="1" x14ac:dyDescent="0.25">
      <c r="I74" s="81"/>
      <c r="J74" s="81"/>
      <c r="K74" s="4" t="s">
        <v>13</v>
      </c>
      <c r="L74" s="4"/>
      <c r="M74" s="4"/>
      <c r="N74" s="1" t="str">
        <f t="shared" si="0"/>
        <v>LA</v>
      </c>
      <c r="O74" s="1">
        <f t="shared" si="1"/>
        <v>29</v>
      </c>
      <c r="P74" s="1">
        <f t="shared" si="2"/>
        <v>27</v>
      </c>
      <c r="R74" s="6">
        <f t="shared" si="3"/>
        <v>66436.56</v>
      </c>
      <c r="S74" s="6">
        <f t="shared" si="4"/>
        <v>66436.56</v>
      </c>
      <c r="U74" s="6">
        <f t="shared" si="5"/>
        <v>0</v>
      </c>
      <c r="W74" s="1">
        <v>17</v>
      </c>
    </row>
    <row r="75" spans="9:23" ht="13.5" customHeight="1" x14ac:dyDescent="0.25">
      <c r="I75" s="81"/>
      <c r="J75" s="81"/>
      <c r="K75" s="4" t="s">
        <v>14</v>
      </c>
      <c r="L75" s="4"/>
      <c r="M75" s="4"/>
      <c r="N75" s="1" t="str">
        <f t="shared" si="0"/>
        <v>LA</v>
      </c>
      <c r="O75" s="1">
        <f t="shared" si="1"/>
        <v>30</v>
      </c>
      <c r="P75" s="1">
        <f t="shared" si="2"/>
        <v>28</v>
      </c>
      <c r="R75" s="6">
        <f t="shared" si="3"/>
        <v>66436.56</v>
      </c>
      <c r="S75" s="6">
        <f t="shared" si="4"/>
        <v>66436.56</v>
      </c>
      <c r="U75" s="6">
        <f t="shared" si="5"/>
        <v>0</v>
      </c>
      <c r="W75" s="1">
        <v>18</v>
      </c>
    </row>
    <row r="76" spans="9:23" ht="13.5" customHeight="1" x14ac:dyDescent="0.25">
      <c r="I76" s="81"/>
      <c r="J76" s="81"/>
      <c r="K76" s="4" t="s">
        <v>0</v>
      </c>
      <c r="L76" s="4"/>
      <c r="M76" s="4"/>
      <c r="N76" s="1" t="str">
        <f t="shared" si="0"/>
        <v>LA</v>
      </c>
      <c r="O76" s="1">
        <f t="shared" si="1"/>
        <v>31</v>
      </c>
      <c r="P76" s="1">
        <f t="shared" si="2"/>
        <v>29</v>
      </c>
      <c r="R76" s="6">
        <f t="shared" si="3"/>
        <v>66436.56</v>
      </c>
      <c r="S76" s="6">
        <f t="shared" si="4"/>
        <v>66436.56</v>
      </c>
      <c r="U76" s="6">
        <f t="shared" si="5"/>
        <v>0</v>
      </c>
      <c r="W76" s="1">
        <v>19</v>
      </c>
    </row>
    <row r="77" spans="9:23" ht="13.5" customHeight="1" x14ac:dyDescent="0.25">
      <c r="I77" s="81"/>
      <c r="J77" s="81"/>
      <c r="K77" s="4" t="s">
        <v>15</v>
      </c>
      <c r="L77" s="4"/>
      <c r="M77" s="4"/>
    </row>
    <row r="78" spans="9:23" ht="13.5" customHeight="1" x14ac:dyDescent="0.25">
      <c r="I78" s="81"/>
      <c r="J78" s="81"/>
      <c r="K78" s="4" t="s">
        <v>16</v>
      </c>
      <c r="L78" s="4"/>
      <c r="M78" s="4"/>
      <c r="U78" s="6">
        <f>SUM(U57:U76)</f>
        <v>16332.480000000003</v>
      </c>
    </row>
    <row r="79" spans="9:23" ht="13.5" customHeight="1" x14ac:dyDescent="0.25">
      <c r="I79" s="81"/>
      <c r="J79" s="81"/>
      <c r="K79" s="4" t="s">
        <v>17</v>
      </c>
      <c r="L79" s="4"/>
      <c r="M79" s="4"/>
      <c r="S79" s="1" t="s">
        <v>31</v>
      </c>
      <c r="U79" s="6">
        <f>IF(F28=0,0,+U78/F28)</f>
        <v>3266.4960000000005</v>
      </c>
    </row>
    <row r="80" spans="9:23" ht="13.5" customHeight="1" x14ac:dyDescent="0.25">
      <c r="I80" s="81"/>
      <c r="J80" s="81"/>
      <c r="K80" s="4" t="s">
        <v>18</v>
      </c>
      <c r="L80" s="4"/>
      <c r="M80" s="4"/>
    </row>
    <row r="81" spans="6:13" ht="13.5" customHeight="1" x14ac:dyDescent="0.25">
      <c r="I81" s="81"/>
      <c r="J81" s="81"/>
      <c r="K81" s="4" t="s">
        <v>19</v>
      </c>
      <c r="L81" s="4"/>
      <c r="M81" s="4"/>
    </row>
    <row r="82" spans="6:13" ht="13.5" customHeight="1" x14ac:dyDescent="0.25">
      <c r="I82" s="81"/>
      <c r="J82" s="81"/>
      <c r="K82" s="4" t="s">
        <v>20</v>
      </c>
      <c r="L82" s="4"/>
      <c r="M82" s="4"/>
    </row>
    <row r="83" spans="6:13" ht="13.5" customHeight="1" x14ac:dyDescent="0.25">
      <c r="I83" s="81"/>
      <c r="J83" s="81"/>
      <c r="K83" s="4">
        <v>1</v>
      </c>
      <c r="L83" s="4"/>
      <c r="M83" s="4"/>
    </row>
    <row r="84" spans="6:13" ht="13.5" customHeight="1" x14ac:dyDescent="0.25">
      <c r="I84" s="81"/>
      <c r="J84" s="81"/>
      <c r="K84" s="4">
        <v>2</v>
      </c>
      <c r="L84" s="4"/>
      <c r="M84" s="4"/>
    </row>
    <row r="85" spans="6:13" ht="13.5" customHeight="1" x14ac:dyDescent="0.25">
      <c r="I85" s="81"/>
      <c r="J85" s="81"/>
      <c r="K85" s="4">
        <v>3</v>
      </c>
      <c r="L85" s="4"/>
      <c r="M85" s="4"/>
    </row>
    <row r="86" spans="6:13" ht="13.5" customHeight="1" x14ac:dyDescent="0.25">
      <c r="I86" s="81"/>
      <c r="J86" s="81"/>
      <c r="K86" s="4">
        <v>4</v>
      </c>
      <c r="L86" s="4"/>
      <c r="M86" s="4"/>
    </row>
    <row r="87" spans="6:13" ht="13.5" customHeight="1" x14ac:dyDescent="0.25">
      <c r="F87" s="6"/>
      <c r="G87" s="6"/>
      <c r="I87" s="81"/>
      <c r="J87" s="81"/>
      <c r="K87" s="4">
        <v>5</v>
      </c>
      <c r="L87" s="4"/>
      <c r="M87" s="4"/>
    </row>
    <row r="88" spans="6:13" ht="13.5" customHeight="1" x14ac:dyDescent="0.25">
      <c r="F88" s="6"/>
      <c r="G88" s="6"/>
      <c r="I88" s="81"/>
      <c r="J88" s="81"/>
      <c r="K88" s="4">
        <v>6</v>
      </c>
      <c r="L88" s="4"/>
      <c r="M88" s="4"/>
    </row>
    <row r="89" spans="6:13" ht="13.5" customHeight="1" x14ac:dyDescent="0.25">
      <c r="F89" s="6"/>
      <c r="G89" s="6"/>
      <c r="I89" s="81"/>
      <c r="J89" s="81"/>
      <c r="K89" s="4">
        <v>7</v>
      </c>
      <c r="L89" s="4"/>
      <c r="M89" s="4"/>
    </row>
    <row r="90" spans="6:13" ht="13.5" customHeight="1" x14ac:dyDescent="0.25">
      <c r="F90" s="6"/>
      <c r="G90" s="6"/>
      <c r="I90" s="81"/>
      <c r="J90" s="81"/>
      <c r="K90" s="4">
        <v>8</v>
      </c>
      <c r="L90" s="4"/>
      <c r="M90" s="4"/>
    </row>
    <row r="91" spans="6:13" ht="13.5" customHeight="1" x14ac:dyDescent="0.25">
      <c r="F91" s="6"/>
      <c r="G91" s="6"/>
      <c r="I91" s="81"/>
      <c r="J91" s="81"/>
      <c r="K91" s="4">
        <v>9</v>
      </c>
      <c r="L91" s="4"/>
      <c r="M91" s="4"/>
    </row>
    <row r="92" spans="6:13" ht="13.5" customHeight="1" x14ac:dyDescent="0.25">
      <c r="F92" s="6"/>
      <c r="G92" s="6"/>
      <c r="I92" s="81"/>
      <c r="J92" s="81"/>
      <c r="K92" s="4">
        <v>10</v>
      </c>
      <c r="L92" s="4"/>
      <c r="M92" s="4"/>
    </row>
    <row r="93" spans="6:13" ht="13.5" customHeight="1" x14ac:dyDescent="0.25">
      <c r="F93" s="6"/>
      <c r="G93" s="6"/>
      <c r="I93" s="81"/>
      <c r="J93" s="81"/>
      <c r="K93" s="4">
        <v>11</v>
      </c>
      <c r="L93" s="4"/>
      <c r="M93" s="4"/>
    </row>
    <row r="94" spans="6:13" ht="13.5" customHeight="1" x14ac:dyDescent="0.25">
      <c r="F94" s="6"/>
      <c r="G94" s="6"/>
      <c r="I94" s="81"/>
      <c r="J94" s="81"/>
      <c r="K94" s="4">
        <v>12</v>
      </c>
      <c r="L94" s="4"/>
      <c r="M94" s="4"/>
    </row>
    <row r="95" spans="6:13" ht="13.5" customHeight="1" x14ac:dyDescent="0.25">
      <c r="F95" s="6"/>
      <c r="G95" s="6"/>
      <c r="I95" s="81"/>
      <c r="J95" s="81"/>
      <c r="K95" s="4">
        <v>13</v>
      </c>
      <c r="L95" s="4"/>
      <c r="M95" s="4"/>
    </row>
    <row r="96" spans="6:13" ht="13.5" customHeight="1" x14ac:dyDescent="0.25">
      <c r="F96" s="87"/>
      <c r="G96" s="93"/>
      <c r="I96" s="81"/>
      <c r="J96" s="81"/>
      <c r="K96" s="4">
        <v>14</v>
      </c>
      <c r="L96" s="4"/>
      <c r="M96" s="4"/>
    </row>
    <row r="97" spans="6:13" ht="13.5" customHeight="1" x14ac:dyDescent="0.25">
      <c r="F97" s="87"/>
      <c r="G97" s="93"/>
      <c r="I97" s="81"/>
      <c r="J97" s="81"/>
      <c r="K97" s="4" t="s">
        <v>87</v>
      </c>
      <c r="L97" s="4"/>
      <c r="M97" s="4"/>
    </row>
    <row r="98" spans="6:13" ht="13.5" customHeight="1" x14ac:dyDescent="0.25">
      <c r="F98" s="87"/>
      <c r="G98" s="93"/>
      <c r="I98" s="81"/>
      <c r="J98" s="81"/>
      <c r="K98" s="4" t="s">
        <v>88</v>
      </c>
      <c r="L98" s="4"/>
      <c r="M98" s="4"/>
    </row>
    <row r="99" spans="6:13" ht="13.5" customHeight="1" x14ac:dyDescent="0.25">
      <c r="F99" s="87"/>
      <c r="G99" s="93"/>
      <c r="I99" s="81"/>
      <c r="J99" s="81"/>
      <c r="K99" s="4" t="s">
        <v>89</v>
      </c>
      <c r="L99" s="4"/>
      <c r="M99" s="4"/>
    </row>
    <row r="100" spans="6:13" ht="13.5" customHeight="1" x14ac:dyDescent="0.25">
      <c r="F100" s="86"/>
      <c r="G100" s="81"/>
      <c r="I100" s="81"/>
      <c r="J100" s="81"/>
    </row>
    <row r="101" spans="6:13" ht="13.5" customHeight="1" x14ac:dyDescent="0.25">
      <c r="F101" s="87"/>
      <c r="G101" s="81"/>
      <c r="I101" s="81"/>
      <c r="J101" s="81"/>
    </row>
    <row r="102" spans="6:13" ht="13.5" customHeight="1" x14ac:dyDescent="0.25">
      <c r="F102" s="74"/>
      <c r="G102" s="6"/>
      <c r="I102" s="81"/>
      <c r="J102" s="81"/>
    </row>
    <row r="103" spans="6:13" ht="13.5" customHeight="1" x14ac:dyDescent="0.25">
      <c r="F103" s="6"/>
      <c r="G103" s="6"/>
      <c r="I103" s="81"/>
      <c r="J103" s="81"/>
    </row>
    <row r="104" spans="6:13" ht="13.5" customHeight="1" x14ac:dyDescent="0.25">
      <c r="F104" s="6"/>
      <c r="G104" s="6"/>
      <c r="I104" s="81"/>
      <c r="J104" s="81"/>
    </row>
    <row r="105" spans="6:13" ht="13.5" customHeight="1" x14ac:dyDescent="0.25">
      <c r="F105" s="6"/>
      <c r="G105" s="6"/>
    </row>
    <row r="106" spans="6:13" ht="13.5" customHeight="1" x14ac:dyDescent="0.25">
      <c r="F106" s="6"/>
      <c r="G106" s="6"/>
    </row>
    <row r="117" spans="6:7" ht="13.5" customHeight="1" x14ac:dyDescent="0.25">
      <c r="F117" s="6"/>
      <c r="G117" s="6"/>
    </row>
    <row r="118" spans="6:7" ht="13.5" customHeight="1" x14ac:dyDescent="0.25">
      <c r="F118" s="6"/>
      <c r="G118" s="6"/>
    </row>
    <row r="119" spans="6:7" ht="13.5" customHeight="1" x14ac:dyDescent="0.25">
      <c r="F119" s="6"/>
      <c r="G119" s="6"/>
    </row>
    <row r="120" spans="6:7" ht="13.5" customHeight="1" x14ac:dyDescent="0.25">
      <c r="F120" s="6"/>
      <c r="G120" s="6"/>
    </row>
    <row r="121" spans="6:7" ht="13.5" customHeight="1" x14ac:dyDescent="0.25">
      <c r="F121" s="6"/>
      <c r="G121" s="6"/>
    </row>
    <row r="122" spans="6:7" ht="13.5" customHeight="1" x14ac:dyDescent="0.25">
      <c r="F122" s="6"/>
      <c r="G122" s="6"/>
    </row>
    <row r="123" spans="6:7" ht="13.5" customHeight="1" x14ac:dyDescent="0.25">
      <c r="F123" s="6"/>
      <c r="G123" s="6"/>
    </row>
    <row r="124" spans="6:7" ht="13.5" customHeight="1" x14ac:dyDescent="0.25">
      <c r="F124" s="6"/>
      <c r="G124" s="6"/>
    </row>
    <row r="125" spans="6:7" ht="13.5" customHeight="1" x14ac:dyDescent="0.25">
      <c r="F125" s="6"/>
      <c r="G125" s="6"/>
    </row>
    <row r="126" spans="6:7" ht="13.5" customHeight="1" x14ac:dyDescent="0.25">
      <c r="F126" s="6"/>
      <c r="G126" s="6"/>
    </row>
    <row r="127" spans="6:7" ht="13.5" customHeight="1" x14ac:dyDescent="0.25">
      <c r="F127" s="6"/>
      <c r="G127" s="6"/>
    </row>
    <row r="128" spans="6:7" ht="13.5" customHeight="1" x14ac:dyDescent="0.25">
      <c r="F128" s="6"/>
      <c r="G128" s="6"/>
    </row>
    <row r="129" spans="6:7" ht="13.5" customHeight="1" x14ac:dyDescent="0.25">
      <c r="F129" s="6"/>
      <c r="G129" s="6"/>
    </row>
    <row r="130" spans="6:7" ht="13.5" customHeight="1" x14ac:dyDescent="0.25">
      <c r="F130" s="6"/>
      <c r="G130" s="6"/>
    </row>
    <row r="131" spans="6:7" ht="13.5" customHeight="1" x14ac:dyDescent="0.25">
      <c r="F131" s="6"/>
      <c r="G131" s="6"/>
    </row>
    <row r="132" spans="6:7" ht="13.5" customHeight="1" x14ac:dyDescent="0.25">
      <c r="F132" s="6"/>
      <c r="G132" s="6"/>
    </row>
    <row r="133" spans="6:7" ht="13.5" customHeight="1" x14ac:dyDescent="0.25">
      <c r="F133" s="6"/>
      <c r="G133" s="6"/>
    </row>
    <row r="134" spans="6:7" ht="13.5" customHeight="1" x14ac:dyDescent="0.25">
      <c r="F134" s="6"/>
      <c r="G134" s="6"/>
    </row>
    <row r="135" spans="6:7" ht="13.5" customHeight="1" x14ac:dyDescent="0.25">
      <c r="F135" s="6"/>
      <c r="G135" s="6"/>
    </row>
    <row r="136" spans="6:7" ht="13.5" customHeight="1" x14ac:dyDescent="0.25">
      <c r="F136" s="6"/>
      <c r="G136" s="6"/>
    </row>
  </sheetData>
  <sheetProtection password="DFB1" sheet="1"/>
  <mergeCells count="1">
    <mergeCell ref="F10:G10"/>
  </mergeCells>
  <phoneticPr fontId="0" type="noConversion"/>
  <dataValidations count="2">
    <dataValidation type="list" allowBlank="1" showInputMessage="1" showErrorMessage="1" sqref="F13">
      <formula1>$K$56:$K$99</formula1>
    </dataValidation>
    <dataValidation type="list" allowBlank="1" showInputMessage="1" showErrorMessage="1" sqref="F20:F22">
      <formula1>"ja, nee"</formula1>
    </dataValidation>
  </dataValidations>
  <printOptions gridLines="1"/>
  <pageMargins left="0.74803149606299213" right="0.74803149606299213" top="0.98425196850393704" bottom="0.98425196850393704" header="0.51181102362204722" footer="0.51181102362204722"/>
  <pageSetup paperSize="9" scale="65" orientation="portrait"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134"/>
  <sheetViews>
    <sheetView tabSelected="1" zoomScale="85" zoomScaleNormal="85" zoomScaleSheetLayoutView="85" workbookViewId="0">
      <selection activeCell="B2" sqref="B2"/>
    </sheetView>
  </sheetViews>
  <sheetFormatPr defaultColWidth="9.140625" defaultRowHeight="13.5" customHeight="1" x14ac:dyDescent="0.2"/>
  <cols>
    <col min="1" max="1" width="3.85546875" style="466" customWidth="1"/>
    <col min="2" max="2" width="2.7109375" style="317" customWidth="1"/>
    <col min="3" max="3" width="3.7109375" style="317" customWidth="1"/>
    <col min="4" max="4" width="20.7109375" style="349" customWidth="1"/>
    <col min="5" max="5" width="11.140625" style="317" customWidth="1"/>
    <col min="6" max="12" width="11.7109375" style="317" customWidth="1"/>
    <col min="13" max="13" width="11.7109375" style="317" hidden="1" customWidth="1"/>
    <col min="14" max="14" width="11.7109375" style="317" customWidth="1"/>
    <col min="15" max="15" width="0.85546875" style="317" customWidth="1"/>
    <col min="16" max="16" width="11.7109375" style="317" customWidth="1"/>
    <col min="17" max="17" width="11.28515625" style="317" customWidth="1"/>
    <col min="18" max="18" width="2.140625" style="317" customWidth="1"/>
    <col min="19" max="25" width="11.7109375" style="317" customWidth="1"/>
    <col min="26" max="26" width="11.7109375" style="514" customWidth="1"/>
    <col min="27" max="28" width="2.7109375" style="317" customWidth="1"/>
    <col min="29" max="29" width="12.7109375" style="350" customWidth="1"/>
    <col min="30" max="32" width="12.7109375" style="317" customWidth="1"/>
    <col min="33" max="33" width="0.85546875" style="317" customWidth="1"/>
    <col min="34" max="35" width="12.7109375" style="317" customWidth="1"/>
    <col min="36" max="36" width="0.85546875" style="317" customWidth="1"/>
    <col min="37" max="42" width="11" style="317" customWidth="1"/>
    <col min="43" max="46" width="11" style="282" customWidth="1"/>
    <col min="47" max="47" width="10.85546875" style="368" customWidth="1"/>
    <col min="48" max="48" width="11" style="282" hidden="1" customWidth="1"/>
    <col min="49" max="50" width="10.7109375" style="317" customWidth="1"/>
    <col min="51" max="51" width="0.85546875" style="317" customWidth="1"/>
    <col min="52" max="52" width="10.85546875" style="317" customWidth="1"/>
    <col min="53" max="54" width="2.5703125" style="317" customWidth="1"/>
    <col min="55" max="56" width="2.7109375" style="466" customWidth="1"/>
    <col min="57" max="80" width="10.7109375" style="474" customWidth="1"/>
    <col min="81" max="83" width="10.7109375" style="475" customWidth="1"/>
    <col min="84" max="89" width="14.28515625" style="474" customWidth="1"/>
    <col min="90" max="90" width="14.85546875" style="466" customWidth="1"/>
    <col min="91" max="91" width="14.28515625" style="466" customWidth="1"/>
    <col min="92" max="16384" width="9.140625" style="317"/>
  </cols>
  <sheetData>
    <row r="1" spans="1:91" s="466" customFormat="1" ht="13.5" customHeight="1" x14ac:dyDescent="0.2">
      <c r="D1" s="470"/>
      <c r="Z1" s="507"/>
      <c r="AC1" s="471"/>
      <c r="AQ1" s="472"/>
      <c r="AR1" s="472"/>
      <c r="AS1" s="472"/>
      <c r="AT1" s="472"/>
      <c r="AU1" s="473"/>
      <c r="AV1" s="472"/>
      <c r="BE1" s="474"/>
      <c r="BF1" s="474"/>
      <c r="BG1" s="474"/>
      <c r="BH1" s="474"/>
      <c r="BI1" s="474"/>
      <c r="BJ1" s="474"/>
      <c r="BK1" s="474"/>
      <c r="BL1" s="474"/>
      <c r="BM1" s="474"/>
      <c r="BN1" s="474"/>
      <c r="BO1" s="474"/>
      <c r="BP1" s="474"/>
      <c r="BQ1" s="474"/>
      <c r="BR1" s="474"/>
      <c r="BS1" s="474"/>
      <c r="BT1" s="474"/>
      <c r="BU1" s="474"/>
      <c r="BV1" s="474"/>
      <c r="BW1" s="474"/>
      <c r="BX1" s="474"/>
      <c r="BY1" s="474"/>
      <c r="BZ1" s="474"/>
      <c r="CA1" s="474"/>
      <c r="CB1" s="474"/>
      <c r="CC1" s="475"/>
      <c r="CD1" s="475"/>
      <c r="CE1" s="475"/>
      <c r="CF1" s="474"/>
      <c r="CG1" s="474"/>
      <c r="CH1" s="474"/>
      <c r="CI1" s="474"/>
      <c r="CJ1" s="474"/>
      <c r="CK1" s="474"/>
    </row>
    <row r="2" spans="1:91" ht="13.5" customHeight="1" x14ac:dyDescent="0.2">
      <c r="B2" s="311"/>
      <c r="C2" s="312"/>
      <c r="D2" s="313"/>
      <c r="E2" s="312"/>
      <c r="F2" s="312"/>
      <c r="G2" s="312"/>
      <c r="H2" s="312"/>
      <c r="I2" s="312"/>
      <c r="J2" s="312"/>
      <c r="K2" s="312"/>
      <c r="L2" s="312"/>
      <c r="M2" s="312"/>
      <c r="N2" s="312"/>
      <c r="O2" s="312"/>
      <c r="P2" s="312"/>
      <c r="Q2" s="312"/>
      <c r="R2" s="312"/>
      <c r="S2" s="312"/>
      <c r="T2" s="312"/>
      <c r="U2" s="312"/>
      <c r="V2" s="312"/>
      <c r="W2" s="312"/>
      <c r="X2" s="312"/>
      <c r="Y2" s="312"/>
      <c r="Z2" s="508"/>
      <c r="AA2" s="314"/>
      <c r="AB2" s="311"/>
      <c r="AC2" s="315"/>
      <c r="AD2" s="312"/>
      <c r="AE2" s="312"/>
      <c r="AF2" s="312"/>
      <c r="AG2" s="312"/>
      <c r="AH2" s="312"/>
      <c r="AI2" s="312"/>
      <c r="AJ2" s="312"/>
      <c r="AK2" s="312"/>
      <c r="AL2" s="312"/>
      <c r="AM2" s="312"/>
      <c r="AN2" s="312"/>
      <c r="AO2" s="312"/>
      <c r="AP2" s="312"/>
      <c r="AQ2" s="316"/>
      <c r="AR2" s="316"/>
      <c r="AS2" s="316"/>
      <c r="AT2" s="316"/>
      <c r="AU2" s="359"/>
      <c r="AV2" s="316"/>
      <c r="AW2" s="312"/>
      <c r="AX2" s="312"/>
      <c r="AY2" s="312"/>
      <c r="AZ2" s="312"/>
      <c r="BA2" s="312"/>
      <c r="BB2" s="314"/>
    </row>
    <row r="3" spans="1:91" ht="13.5" customHeight="1" x14ac:dyDescent="0.2">
      <c r="B3" s="318"/>
      <c r="C3" s="309"/>
      <c r="D3" s="281"/>
      <c r="E3" s="309"/>
      <c r="F3" s="309"/>
      <c r="G3" s="309"/>
      <c r="H3" s="309"/>
      <c r="I3" s="309"/>
      <c r="J3" s="309"/>
      <c r="K3" s="309"/>
      <c r="L3" s="309"/>
      <c r="M3" s="524"/>
      <c r="N3" s="309"/>
      <c r="O3" s="309"/>
      <c r="P3" s="309"/>
      <c r="Q3" s="309"/>
      <c r="R3" s="309"/>
      <c r="S3" s="309"/>
      <c r="T3" s="309"/>
      <c r="U3" s="309"/>
      <c r="V3" s="309"/>
      <c r="W3" s="309"/>
      <c r="X3" s="309"/>
      <c r="Y3" s="309"/>
      <c r="Z3" s="498"/>
      <c r="AA3" s="319"/>
      <c r="AB3" s="318"/>
      <c r="AC3" s="280"/>
      <c r="AD3" s="309"/>
      <c r="AE3" s="309"/>
      <c r="AF3" s="309"/>
      <c r="AG3" s="309"/>
      <c r="AH3" s="309"/>
      <c r="AI3" s="309"/>
      <c r="AJ3" s="309"/>
      <c r="AK3" s="309"/>
      <c r="AL3" s="309"/>
      <c r="AM3" s="309"/>
      <c r="AN3" s="309"/>
      <c r="AO3" s="309"/>
      <c r="AP3" s="309"/>
      <c r="AQ3" s="320"/>
      <c r="AR3" s="320"/>
      <c r="AS3" s="320"/>
      <c r="AT3" s="320"/>
      <c r="AU3" s="360"/>
      <c r="AV3" s="320"/>
      <c r="AW3" s="309"/>
      <c r="AX3" s="309"/>
      <c r="AY3" s="309"/>
      <c r="AZ3" s="309"/>
      <c r="BA3" s="309"/>
      <c r="BB3" s="319"/>
    </row>
    <row r="4" spans="1:91" s="328" customFormat="1" ht="18.75" customHeight="1" x14ac:dyDescent="0.3">
      <c r="A4" s="467"/>
      <c r="B4" s="321"/>
      <c r="C4" s="322" t="str">
        <f>"WERKGEVERSLASTEN PO "&amp;tabellen!B1</f>
        <v>WERKGEVERSLASTEN PO 2018</v>
      </c>
      <c r="D4" s="323"/>
      <c r="E4" s="324"/>
      <c r="F4" s="324"/>
      <c r="G4" s="324"/>
      <c r="H4" s="324"/>
      <c r="I4" s="324"/>
      <c r="J4" s="324"/>
      <c r="K4" s="324"/>
      <c r="L4" s="324"/>
      <c r="M4" s="324"/>
      <c r="N4" s="324"/>
      <c r="O4" s="324"/>
      <c r="P4" s="324"/>
      <c r="Q4" s="324"/>
      <c r="R4" s="324"/>
      <c r="S4" s="324"/>
      <c r="T4" s="324"/>
      <c r="U4" s="324"/>
      <c r="V4" s="324"/>
      <c r="W4" s="324"/>
      <c r="X4" s="324"/>
      <c r="Y4" s="324"/>
      <c r="Z4" s="509"/>
      <c r="AA4" s="325"/>
      <c r="AB4" s="321"/>
      <c r="AC4" s="326"/>
      <c r="AD4" s="324"/>
      <c r="AE4" s="324"/>
      <c r="AF4" s="324"/>
      <c r="AG4" s="324"/>
      <c r="AH4" s="324"/>
      <c r="AI4" s="324"/>
      <c r="AJ4" s="324"/>
      <c r="AK4" s="324"/>
      <c r="AL4" s="324"/>
      <c r="AM4" s="324"/>
      <c r="AN4" s="324"/>
      <c r="AO4" s="324"/>
      <c r="AP4" s="324"/>
      <c r="AQ4" s="327"/>
      <c r="AR4" s="327"/>
      <c r="AS4" s="327"/>
      <c r="AT4" s="327"/>
      <c r="AU4" s="361"/>
      <c r="AV4" s="327"/>
      <c r="AW4" s="324"/>
      <c r="AX4" s="324"/>
      <c r="AY4" s="324"/>
      <c r="AZ4" s="324"/>
      <c r="BA4" s="324"/>
      <c r="BB4" s="325"/>
      <c r="BC4" s="467"/>
      <c r="BD4" s="467"/>
      <c r="BE4" s="476"/>
      <c r="BF4" s="476"/>
      <c r="BG4" s="476"/>
      <c r="BH4" s="476"/>
      <c r="BI4" s="476"/>
      <c r="BJ4" s="476"/>
      <c r="BK4" s="476"/>
      <c r="BL4" s="476"/>
      <c r="BM4" s="476"/>
      <c r="BN4" s="476"/>
      <c r="BO4" s="476"/>
      <c r="BP4" s="476"/>
      <c r="BQ4" s="476"/>
      <c r="BR4" s="476"/>
      <c r="BS4" s="476"/>
      <c r="BT4" s="476"/>
      <c r="BU4" s="476"/>
      <c r="BV4" s="476"/>
      <c r="BW4" s="476"/>
      <c r="BX4" s="476"/>
      <c r="BY4" s="476"/>
      <c r="BZ4" s="476"/>
      <c r="CA4" s="476"/>
      <c r="CB4" s="476"/>
      <c r="CC4" s="477"/>
      <c r="CD4" s="477"/>
      <c r="CE4" s="477"/>
      <c r="CF4" s="476"/>
      <c r="CG4" s="476"/>
      <c r="CH4" s="476"/>
      <c r="CI4" s="476"/>
      <c r="CJ4" s="476"/>
      <c r="CK4" s="476"/>
      <c r="CL4" s="467"/>
      <c r="CM4" s="467"/>
    </row>
    <row r="5" spans="1:91" ht="13.5" customHeight="1" x14ac:dyDescent="0.25">
      <c r="B5" s="318"/>
      <c r="C5" s="351" t="str">
        <f>wgl!C5</f>
        <v xml:space="preserve"> vanaf 1 januari  2018</v>
      </c>
      <c r="D5" s="281"/>
      <c r="E5" s="309"/>
      <c r="F5" s="309"/>
      <c r="G5" s="309"/>
      <c r="H5" s="309"/>
      <c r="I5" s="309"/>
      <c r="J5" s="309"/>
      <c r="K5" s="309"/>
      <c r="L5" s="309"/>
      <c r="M5" s="524"/>
      <c r="N5" s="309"/>
      <c r="O5" s="309"/>
      <c r="P5" s="309"/>
      <c r="Q5" s="309"/>
      <c r="R5" s="309"/>
      <c r="S5" s="309"/>
      <c r="T5" s="309"/>
      <c r="U5" s="309"/>
      <c r="V5" s="309"/>
      <c r="W5" s="309"/>
      <c r="X5" s="309"/>
      <c r="Y5" s="309"/>
      <c r="Z5" s="498"/>
      <c r="AA5" s="319"/>
      <c r="AB5" s="318"/>
      <c r="AC5" s="280"/>
      <c r="AD5" s="309"/>
      <c r="AE5" s="309"/>
      <c r="AF5" s="309"/>
      <c r="AG5" s="309"/>
      <c r="AH5" s="309"/>
      <c r="AI5" s="309"/>
      <c r="AJ5" s="309"/>
      <c r="AK5" s="309"/>
      <c r="AL5" s="309"/>
      <c r="AM5" s="309"/>
      <c r="AN5" s="309"/>
      <c r="AO5" s="309"/>
      <c r="AP5" s="309"/>
      <c r="AQ5" s="320"/>
      <c r="AR5" s="320"/>
      <c r="AS5" s="320"/>
      <c r="AT5" s="320"/>
      <c r="AU5" s="360"/>
      <c r="AV5" s="320"/>
      <c r="AW5" s="309"/>
      <c r="AX5" s="309"/>
      <c r="AY5" s="309"/>
      <c r="AZ5" s="309"/>
      <c r="BA5" s="309"/>
      <c r="BB5" s="319"/>
    </row>
    <row r="6" spans="1:91" ht="13.5" customHeight="1" x14ac:dyDescent="0.2">
      <c r="B6" s="318"/>
      <c r="C6" s="309"/>
      <c r="D6" s="281"/>
      <c r="E6" s="309"/>
      <c r="F6" s="309"/>
      <c r="G6" s="309"/>
      <c r="H6" s="309"/>
      <c r="I6" s="309"/>
      <c r="J6" s="309"/>
      <c r="K6" s="309"/>
      <c r="L6" s="309"/>
      <c r="M6" s="524"/>
      <c r="N6" s="309"/>
      <c r="O6" s="309"/>
      <c r="P6" s="309"/>
      <c r="Q6" s="309"/>
      <c r="R6" s="309"/>
      <c r="S6" s="309"/>
      <c r="T6" s="309"/>
      <c r="U6" s="309"/>
      <c r="V6" s="309"/>
      <c r="W6" s="309"/>
      <c r="X6" s="309"/>
      <c r="Y6" s="309"/>
      <c r="Z6" s="498"/>
      <c r="AA6" s="319"/>
      <c r="AB6" s="318"/>
      <c r="AC6" s="280"/>
      <c r="AD6" s="309"/>
      <c r="AE6" s="309"/>
      <c r="AF6" s="309"/>
      <c r="AG6" s="309"/>
      <c r="AH6" s="334"/>
      <c r="AI6" s="309"/>
      <c r="AJ6" s="309"/>
      <c r="AK6" s="309"/>
      <c r="AL6" s="309"/>
      <c r="AM6" s="309"/>
      <c r="AN6" s="309"/>
      <c r="AO6" s="309"/>
      <c r="AP6" s="309"/>
      <c r="AQ6" s="320"/>
      <c r="AR6" s="320"/>
      <c r="AS6" s="320"/>
      <c r="AT6" s="320"/>
      <c r="AU6" s="360"/>
      <c r="AV6" s="320"/>
      <c r="AW6" s="309"/>
      <c r="AX6" s="309"/>
      <c r="AY6" s="309"/>
      <c r="AZ6" s="309"/>
      <c r="BA6" s="309"/>
      <c r="BB6" s="319"/>
    </row>
    <row r="7" spans="1:91" ht="13.5" customHeight="1" x14ac:dyDescent="0.2">
      <c r="B7" s="318"/>
      <c r="C7" s="373"/>
      <c r="D7" s="281"/>
      <c r="E7" s="373"/>
      <c r="F7" s="373"/>
      <c r="G7" s="373"/>
      <c r="H7" s="373"/>
      <c r="I7" s="373"/>
      <c r="J7" s="373"/>
      <c r="K7" s="373"/>
      <c r="L7" s="373"/>
      <c r="M7" s="524"/>
      <c r="N7" s="373"/>
      <c r="O7" s="373"/>
      <c r="P7" s="373"/>
      <c r="Q7" s="373"/>
      <c r="R7" s="373"/>
      <c r="S7" s="373"/>
      <c r="T7" s="373"/>
      <c r="U7" s="373"/>
      <c r="V7" s="373"/>
      <c r="W7" s="373"/>
      <c r="X7" s="373"/>
      <c r="Y7" s="373"/>
      <c r="Z7" s="498"/>
      <c r="AA7" s="319"/>
      <c r="AB7" s="318"/>
      <c r="AC7" s="280"/>
      <c r="AD7" s="373"/>
      <c r="AE7" s="373"/>
      <c r="AF7" s="373"/>
      <c r="AG7" s="373"/>
      <c r="AH7" s="334"/>
      <c r="AI7" s="373"/>
      <c r="AJ7" s="373"/>
      <c r="AK7" s="373"/>
      <c r="AL7" s="373"/>
      <c r="AM7" s="373"/>
      <c r="AN7" s="373"/>
      <c r="AO7" s="373"/>
      <c r="AP7" s="373"/>
      <c r="AQ7" s="320"/>
      <c r="AR7" s="320"/>
      <c r="AS7" s="320"/>
      <c r="AT7" s="320"/>
      <c r="AU7" s="360"/>
      <c r="AV7" s="320"/>
      <c r="AW7" s="373"/>
      <c r="AX7" s="373"/>
      <c r="AY7" s="373"/>
      <c r="AZ7" s="373"/>
      <c r="BA7" s="373"/>
      <c r="BB7" s="319"/>
    </row>
    <row r="8" spans="1:91" s="335" customFormat="1" ht="13.5" customHeight="1" x14ac:dyDescent="0.2">
      <c r="A8" s="468"/>
      <c r="B8" s="329"/>
      <c r="C8" s="330"/>
      <c r="D8" s="284" t="s">
        <v>219</v>
      </c>
      <c r="E8" s="330"/>
      <c r="F8" s="285"/>
      <c r="G8" s="330"/>
      <c r="H8" s="330"/>
      <c r="I8" s="330"/>
      <c r="J8" s="330"/>
      <c r="K8" s="330"/>
      <c r="L8" s="330"/>
      <c r="M8" s="330"/>
      <c r="N8" s="330"/>
      <c r="O8" s="330"/>
      <c r="P8" s="330"/>
      <c r="Q8" s="330"/>
      <c r="R8" s="330"/>
      <c r="S8" s="285" t="s">
        <v>36</v>
      </c>
      <c r="T8" s="330"/>
      <c r="U8" s="309"/>
      <c r="V8" s="330"/>
      <c r="W8" s="330"/>
      <c r="X8" s="330"/>
      <c r="Y8" s="330"/>
      <c r="Z8" s="510"/>
      <c r="AA8" s="332"/>
      <c r="AB8" s="329"/>
      <c r="AC8" s="333"/>
      <c r="AD8" s="330"/>
      <c r="AE8" s="330"/>
      <c r="AF8" s="331"/>
      <c r="AG8" s="330"/>
      <c r="AH8" s="331"/>
      <c r="AI8" s="330"/>
      <c r="AJ8" s="330"/>
      <c r="AK8" s="284" t="s">
        <v>256</v>
      </c>
      <c r="AL8" s="330"/>
      <c r="AM8" s="330"/>
      <c r="AN8" s="330"/>
      <c r="AO8" s="334"/>
      <c r="AP8" s="334"/>
      <c r="AQ8" s="320"/>
      <c r="AR8" s="320"/>
      <c r="AS8" s="320"/>
      <c r="AT8" s="354"/>
      <c r="AU8" s="362"/>
      <c r="AV8" s="354"/>
      <c r="AW8" s="355"/>
      <c r="AX8" s="355"/>
      <c r="AY8" s="330"/>
      <c r="AZ8" s="330"/>
      <c r="BA8" s="330"/>
      <c r="BB8" s="332"/>
      <c r="BC8" s="468"/>
      <c r="BD8" s="468"/>
      <c r="BE8" s="474"/>
      <c r="BF8" s="474"/>
      <c r="BG8" s="474"/>
      <c r="BH8" s="474"/>
      <c r="BI8" s="474"/>
      <c r="BJ8" s="474"/>
      <c r="BK8" s="474"/>
      <c r="BL8" s="474"/>
      <c r="BM8" s="474"/>
      <c r="BN8" s="474"/>
      <c r="BO8" s="474"/>
      <c r="BP8" s="474"/>
      <c r="BQ8" s="474"/>
      <c r="BR8" s="474"/>
      <c r="BS8" s="474"/>
      <c r="BT8" s="474"/>
      <c r="BU8" s="474"/>
      <c r="BV8" s="474"/>
      <c r="BW8" s="474"/>
      <c r="BX8" s="474"/>
      <c r="BY8" s="474"/>
      <c r="BZ8" s="474"/>
      <c r="CA8" s="474"/>
      <c r="CB8" s="474"/>
      <c r="CC8" s="478"/>
      <c r="CD8" s="478"/>
      <c r="CE8" s="475"/>
      <c r="CF8" s="474"/>
      <c r="CG8" s="474"/>
      <c r="CH8" s="474"/>
      <c r="CI8" s="474"/>
      <c r="CJ8" s="474"/>
      <c r="CK8" s="474"/>
      <c r="CL8" s="468"/>
      <c r="CM8" s="468"/>
    </row>
    <row r="9" spans="1:91" ht="13.5" customHeight="1" x14ac:dyDescent="0.2">
      <c r="B9" s="318"/>
      <c r="C9" s="309"/>
      <c r="D9" s="281"/>
      <c r="E9" s="309" t="s">
        <v>268</v>
      </c>
      <c r="F9" s="710" t="s">
        <v>288</v>
      </c>
      <c r="G9" s="710"/>
      <c r="H9" s="309" t="s">
        <v>231</v>
      </c>
      <c r="I9" s="309" t="s">
        <v>295</v>
      </c>
      <c r="J9" s="523" t="s">
        <v>360</v>
      </c>
      <c r="K9" s="710" t="s">
        <v>69</v>
      </c>
      <c r="L9" s="711"/>
      <c r="M9" s="526" t="s">
        <v>369</v>
      </c>
      <c r="N9" s="309" t="s">
        <v>59</v>
      </c>
      <c r="O9" s="309"/>
      <c r="P9" s="309" t="s">
        <v>284</v>
      </c>
      <c r="Q9" s="309" t="s">
        <v>253</v>
      </c>
      <c r="R9" s="309"/>
      <c r="S9" s="309" t="s">
        <v>289</v>
      </c>
      <c r="T9" s="309" t="s">
        <v>262</v>
      </c>
      <c r="U9" s="309" t="s">
        <v>291</v>
      </c>
      <c r="V9" s="309" t="s">
        <v>293</v>
      </c>
      <c r="W9" s="309" t="s">
        <v>254</v>
      </c>
      <c r="X9" s="309" t="s">
        <v>293</v>
      </c>
      <c r="Y9" s="309" t="s">
        <v>266</v>
      </c>
      <c r="Z9" s="498" t="s">
        <v>286</v>
      </c>
      <c r="AA9" s="319"/>
      <c r="AB9" s="318"/>
      <c r="AC9" s="280" t="s">
        <v>38</v>
      </c>
      <c r="AD9" s="309" t="s">
        <v>274</v>
      </c>
      <c r="AE9" s="358" t="s">
        <v>299</v>
      </c>
      <c r="AF9" s="310" t="s">
        <v>280</v>
      </c>
      <c r="AG9" s="309"/>
      <c r="AH9" s="310" t="s">
        <v>278</v>
      </c>
      <c r="AI9" s="280" t="s">
        <v>178</v>
      </c>
      <c r="AJ9" s="309"/>
      <c r="AK9" s="309" t="s">
        <v>250</v>
      </c>
      <c r="AL9" s="309" t="s">
        <v>39</v>
      </c>
      <c r="AM9" s="309" t="s">
        <v>190</v>
      </c>
      <c r="AN9" s="369" t="s">
        <v>44</v>
      </c>
      <c r="AO9" s="371" t="s">
        <v>183</v>
      </c>
      <c r="AP9" s="370" t="s">
        <v>298</v>
      </c>
      <c r="AQ9" s="364" t="s">
        <v>58</v>
      </c>
      <c r="AR9" s="364" t="s">
        <v>59</v>
      </c>
      <c r="AS9" s="364" t="s">
        <v>60</v>
      </c>
      <c r="AT9" s="363" t="s">
        <v>276</v>
      </c>
      <c r="AU9" s="531" t="s">
        <v>296</v>
      </c>
      <c r="AV9" s="356"/>
      <c r="AW9" s="708" t="s">
        <v>335</v>
      </c>
      <c r="AX9" s="709"/>
      <c r="AY9" s="309"/>
      <c r="AZ9" s="498" t="s">
        <v>333</v>
      </c>
      <c r="BA9" s="309"/>
      <c r="BB9" s="319"/>
      <c r="BE9" s="474" t="s">
        <v>252</v>
      </c>
      <c r="BF9" s="474" t="s">
        <v>252</v>
      </c>
      <c r="BG9" s="474" t="s">
        <v>252</v>
      </c>
      <c r="BH9" s="474" t="s">
        <v>252</v>
      </c>
      <c r="BI9" s="474" t="s">
        <v>252</v>
      </c>
      <c r="BJ9" s="474" t="s">
        <v>295</v>
      </c>
      <c r="BK9" s="474" t="s">
        <v>252</v>
      </c>
      <c r="BL9" s="474" t="s">
        <v>252</v>
      </c>
      <c r="BM9" s="474" t="s">
        <v>252</v>
      </c>
      <c r="BN9" s="474" t="s">
        <v>252</v>
      </c>
      <c r="BO9" s="474" t="s">
        <v>252</v>
      </c>
      <c r="BQ9" s="479" t="s">
        <v>39</v>
      </c>
      <c r="BR9" s="479" t="s">
        <v>190</v>
      </c>
      <c r="BS9" s="479" t="s">
        <v>42</v>
      </c>
      <c r="BT9" s="479" t="s">
        <v>272</v>
      </c>
      <c r="BU9" s="479" t="s">
        <v>269</v>
      </c>
      <c r="BV9" s="479" t="s">
        <v>257</v>
      </c>
      <c r="BW9" s="479" t="s">
        <v>270</v>
      </c>
      <c r="BX9" s="479"/>
      <c r="BY9" s="479"/>
      <c r="CC9" s="474"/>
      <c r="CD9" s="474"/>
      <c r="CE9" s="474"/>
      <c r="CM9" s="468"/>
    </row>
    <row r="10" spans="1:91" ht="13.5" customHeight="1" x14ac:dyDescent="0.2">
      <c r="B10" s="318"/>
      <c r="C10" s="309"/>
      <c r="D10" s="281"/>
      <c r="E10" s="309" t="s">
        <v>261</v>
      </c>
      <c r="F10" s="358" t="s">
        <v>21</v>
      </c>
      <c r="G10" s="358" t="s">
        <v>22</v>
      </c>
      <c r="H10" s="309"/>
      <c r="I10" s="280" t="s">
        <v>283</v>
      </c>
      <c r="J10" s="358" t="s">
        <v>361</v>
      </c>
      <c r="K10" s="358" t="s">
        <v>282</v>
      </c>
      <c r="L10" s="280" t="s">
        <v>283</v>
      </c>
      <c r="M10" s="358" t="s">
        <v>370</v>
      </c>
      <c r="N10" s="309"/>
      <c r="O10" s="309"/>
      <c r="P10" s="309" t="s">
        <v>285</v>
      </c>
      <c r="Q10" s="309"/>
      <c r="R10" s="309"/>
      <c r="S10" s="309" t="s">
        <v>290</v>
      </c>
      <c r="T10" s="309" t="s">
        <v>263</v>
      </c>
      <c r="U10" s="309" t="s">
        <v>292</v>
      </c>
      <c r="V10" s="309" t="s">
        <v>292</v>
      </c>
      <c r="W10" s="309" t="s">
        <v>255</v>
      </c>
      <c r="X10" s="309" t="s">
        <v>294</v>
      </c>
      <c r="Y10" s="309" t="s">
        <v>267</v>
      </c>
      <c r="Z10" s="498" t="s">
        <v>287</v>
      </c>
      <c r="AA10" s="319"/>
      <c r="AB10" s="318"/>
      <c r="AC10" s="280"/>
      <c r="AD10" s="309" t="s">
        <v>275</v>
      </c>
      <c r="AE10" s="358" t="s">
        <v>300</v>
      </c>
      <c r="AF10" s="309"/>
      <c r="AG10" s="309"/>
      <c r="AH10" s="310" t="s">
        <v>279</v>
      </c>
      <c r="AI10" s="309"/>
      <c r="AJ10" s="309"/>
      <c r="AK10" s="309"/>
      <c r="AL10" s="309"/>
      <c r="AM10" s="309"/>
      <c r="AN10" s="369"/>
      <c r="AO10" s="369"/>
      <c r="AP10" s="369" t="s">
        <v>40</v>
      </c>
      <c r="AQ10" s="360"/>
      <c r="AR10" s="364"/>
      <c r="AS10" s="364"/>
      <c r="AT10" s="363" t="s">
        <v>277</v>
      </c>
      <c r="AU10" s="363"/>
      <c r="AV10" s="356"/>
      <c r="AW10" s="357" t="s">
        <v>48</v>
      </c>
      <c r="AX10" s="357" t="s">
        <v>281</v>
      </c>
      <c r="AY10" s="309"/>
      <c r="AZ10" s="358" t="s">
        <v>337</v>
      </c>
      <c r="BA10" s="309"/>
      <c r="BB10" s="319"/>
      <c r="BE10" s="480">
        <f ca="1">NOW()</f>
        <v>43103.670106134261</v>
      </c>
      <c r="BF10" s="474" t="s">
        <v>261</v>
      </c>
      <c r="BG10" s="474" t="s">
        <v>261</v>
      </c>
      <c r="BH10" s="474" t="s">
        <v>265</v>
      </c>
      <c r="BI10" s="474" t="s">
        <v>265</v>
      </c>
      <c r="BJ10" s="481" t="s">
        <v>21</v>
      </c>
      <c r="BK10" s="474" t="s">
        <v>264</v>
      </c>
      <c r="BL10" s="474" t="s">
        <v>260</v>
      </c>
      <c r="BM10" s="474" t="s">
        <v>259</v>
      </c>
      <c r="BN10" s="478" t="s">
        <v>258</v>
      </c>
      <c r="BO10" s="474" t="s">
        <v>200</v>
      </c>
      <c r="BS10" s="478" t="s">
        <v>228</v>
      </c>
      <c r="BT10" s="474" t="s">
        <v>273</v>
      </c>
      <c r="BU10" s="474" t="s">
        <v>90</v>
      </c>
      <c r="BV10" s="474" t="s">
        <v>40</v>
      </c>
      <c r="BW10" s="474" t="s">
        <v>271</v>
      </c>
      <c r="CA10" s="474" t="s">
        <v>261</v>
      </c>
      <c r="CB10" s="474" t="s">
        <v>326</v>
      </c>
      <c r="CC10" s="474"/>
      <c r="CD10" s="474"/>
      <c r="CE10" s="474"/>
    </row>
    <row r="11" spans="1:91" ht="13.5" customHeight="1" x14ac:dyDescent="0.2">
      <c r="B11" s="318"/>
      <c r="C11" s="309"/>
      <c r="D11" s="281"/>
      <c r="E11" s="309"/>
      <c r="F11" s="309"/>
      <c r="G11" s="309"/>
      <c r="H11" s="309"/>
      <c r="I11" s="309"/>
      <c r="J11" s="309"/>
      <c r="K11" s="309"/>
      <c r="L11" s="309"/>
      <c r="M11" s="527" t="s">
        <v>283</v>
      </c>
      <c r="N11" s="309"/>
      <c r="O11" s="309"/>
      <c r="P11" s="309"/>
      <c r="Q11" s="309"/>
      <c r="R11" s="309"/>
      <c r="S11" s="309"/>
      <c r="T11" s="309"/>
      <c r="U11" s="309"/>
      <c r="V11" s="309"/>
      <c r="W11" s="309"/>
      <c r="X11" s="309"/>
      <c r="Y11" s="309"/>
      <c r="Z11" s="498"/>
      <c r="AA11" s="319"/>
      <c r="AB11" s="318"/>
      <c r="AC11" s="280"/>
      <c r="AD11" s="309"/>
      <c r="AE11" s="309"/>
      <c r="AF11" s="309"/>
      <c r="AG11" s="309"/>
      <c r="AH11" s="309"/>
      <c r="AI11" s="309"/>
      <c r="AJ11" s="309"/>
      <c r="AK11" s="309"/>
      <c r="AL11" s="309"/>
      <c r="AM11" s="309"/>
      <c r="AN11" s="309"/>
      <c r="AO11" s="309"/>
      <c r="AP11" s="309"/>
      <c r="AQ11" s="320"/>
      <c r="AR11" s="283"/>
      <c r="AS11" s="283"/>
      <c r="AT11" s="283"/>
      <c r="AU11" s="364"/>
      <c r="AV11" s="283"/>
      <c r="AW11" s="310"/>
      <c r="AX11" s="310"/>
      <c r="AY11" s="309"/>
      <c r="AZ11" s="310"/>
      <c r="BA11" s="309"/>
      <c r="BB11" s="319"/>
      <c r="BE11" s="480"/>
      <c r="CC11" s="474"/>
      <c r="CD11" s="474"/>
      <c r="CE11" s="480"/>
    </row>
    <row r="12" spans="1:91" ht="13.5" hidden="1" customHeight="1" x14ac:dyDescent="0.2">
      <c r="B12" s="318"/>
      <c r="C12" s="336"/>
      <c r="D12" s="337"/>
      <c r="E12" s="336"/>
      <c r="F12" s="336"/>
      <c r="G12" s="336"/>
      <c r="H12" s="336"/>
      <c r="I12" s="336"/>
      <c r="J12" s="336"/>
      <c r="K12" s="336"/>
      <c r="L12" s="336"/>
      <c r="M12" s="336"/>
      <c r="N12" s="336"/>
      <c r="O12" s="336"/>
      <c r="P12" s="336"/>
      <c r="Q12" s="336"/>
      <c r="R12" s="336"/>
      <c r="S12" s="336"/>
      <c r="T12" s="336"/>
      <c r="U12" s="336"/>
      <c r="V12" s="336"/>
      <c r="W12" s="336"/>
      <c r="X12" s="336"/>
      <c r="Y12" s="336"/>
      <c r="Z12" s="391"/>
      <c r="AA12" s="338"/>
      <c r="AB12" s="339"/>
      <c r="AC12" s="340"/>
      <c r="AD12" s="336"/>
      <c r="AE12" s="336"/>
      <c r="AF12" s="336"/>
      <c r="AG12" s="336"/>
      <c r="AH12" s="336"/>
      <c r="AI12" s="336"/>
      <c r="AJ12" s="336"/>
      <c r="AK12" s="336"/>
      <c r="AL12" s="336"/>
      <c r="AM12" s="336"/>
      <c r="AN12" s="336"/>
      <c r="AO12" s="336"/>
      <c r="AP12" s="336"/>
      <c r="AQ12" s="341"/>
      <c r="AR12" s="342"/>
      <c r="AS12" s="342"/>
      <c r="AT12" s="342"/>
      <c r="AU12" s="365"/>
      <c r="AV12" s="342"/>
      <c r="AW12" s="336"/>
      <c r="AX12" s="336"/>
      <c r="AY12" s="336"/>
      <c r="AZ12" s="336"/>
      <c r="BA12" s="336"/>
      <c r="BB12" s="319"/>
      <c r="BE12" s="480"/>
      <c r="CC12" s="474"/>
      <c r="CD12" s="474"/>
      <c r="CE12" s="474"/>
    </row>
    <row r="13" spans="1:91" ht="13.5" hidden="1" customHeight="1" x14ac:dyDescent="0.2">
      <c r="B13" s="318"/>
      <c r="C13" s="336"/>
      <c r="D13" s="337"/>
      <c r="E13" s="336"/>
      <c r="F13" s="336"/>
      <c r="G13" s="336"/>
      <c r="H13" s="336"/>
      <c r="I13" s="336"/>
      <c r="J13" s="336"/>
      <c r="K13" s="336"/>
      <c r="L13" s="336"/>
      <c r="M13" s="336"/>
      <c r="N13" s="336"/>
      <c r="O13" s="336"/>
      <c r="P13" s="336"/>
      <c r="Q13" s="496">
        <f>Q70</f>
        <v>9870</v>
      </c>
      <c r="R13" s="336"/>
      <c r="S13" s="336"/>
      <c r="T13" s="336"/>
      <c r="U13" s="336"/>
      <c r="V13" s="336"/>
      <c r="W13" s="336"/>
      <c r="X13" s="336"/>
      <c r="Y13" s="336"/>
      <c r="Z13" s="391"/>
      <c r="AA13" s="338"/>
      <c r="AB13" s="339"/>
      <c r="AC13" s="340"/>
      <c r="AD13" s="336"/>
      <c r="AE13" s="336"/>
      <c r="AF13" s="336"/>
      <c r="AG13" s="336"/>
      <c r="AH13" s="336"/>
      <c r="AI13" s="336"/>
      <c r="AJ13" s="336"/>
      <c r="AK13" s="336"/>
      <c r="AL13" s="336"/>
      <c r="AM13" s="336"/>
      <c r="AN13" s="336"/>
      <c r="AO13" s="336"/>
      <c r="AP13" s="336"/>
      <c r="AQ13" s="341"/>
      <c r="AR13" s="342"/>
      <c r="AS13" s="342"/>
      <c r="AT13" s="342"/>
      <c r="AU13" s="365"/>
      <c r="AV13" s="342"/>
      <c r="AW13" s="496">
        <f>AW70</f>
        <v>16289.899143908</v>
      </c>
      <c r="AX13" s="496">
        <f>AX70</f>
        <v>195478.78972689601</v>
      </c>
      <c r="AY13" s="336"/>
      <c r="AZ13" s="497">
        <f>AZ70</f>
        <v>0.65044570860263429</v>
      </c>
      <c r="BA13" s="336"/>
      <c r="BB13" s="319"/>
      <c r="BE13" s="480"/>
      <c r="CC13" s="474"/>
      <c r="CD13" s="474"/>
      <c r="CE13" s="474"/>
    </row>
    <row r="14" spans="1:91" ht="13.5" customHeight="1" x14ac:dyDescent="0.2">
      <c r="B14" s="318"/>
      <c r="C14" s="336"/>
      <c r="D14" s="337"/>
      <c r="E14" s="336"/>
      <c r="F14" s="336"/>
      <c r="G14" s="336"/>
      <c r="H14" s="336"/>
      <c r="I14" s="336"/>
      <c r="J14" s="336"/>
      <c r="K14" s="336"/>
      <c r="L14" s="336"/>
      <c r="M14" s="336"/>
      <c r="N14" s="336"/>
      <c r="O14" s="336"/>
      <c r="P14" s="336"/>
      <c r="Q14" s="336"/>
      <c r="R14" s="336"/>
      <c r="S14" s="336"/>
      <c r="T14" s="336"/>
      <c r="U14" s="336"/>
      <c r="V14" s="336"/>
      <c r="W14" s="336"/>
      <c r="X14" s="336"/>
      <c r="Y14" s="336"/>
      <c r="Z14" s="391"/>
      <c r="AA14" s="338"/>
      <c r="AB14" s="339"/>
      <c r="AC14" s="340"/>
      <c r="AD14" s="336"/>
      <c r="AE14" s="336"/>
      <c r="AF14" s="336"/>
      <c r="AG14" s="336"/>
      <c r="AH14" s="336"/>
      <c r="AI14" s="336"/>
      <c r="AJ14" s="336"/>
      <c r="AK14" s="336"/>
      <c r="AL14" s="336"/>
      <c r="AM14" s="336"/>
      <c r="AN14" s="336"/>
      <c r="AO14" s="336"/>
      <c r="AP14" s="336"/>
      <c r="AQ14" s="341"/>
      <c r="AR14" s="342"/>
      <c r="AS14" s="342"/>
      <c r="AT14" s="342"/>
      <c r="AU14" s="365"/>
      <c r="AV14" s="342"/>
      <c r="AW14" s="336"/>
      <c r="AX14" s="336"/>
      <c r="AY14" s="336"/>
      <c r="AZ14" s="336"/>
      <c r="BA14" s="336"/>
      <c r="BB14" s="319"/>
      <c r="BE14" s="480"/>
      <c r="CC14" s="474"/>
      <c r="CD14" s="474"/>
      <c r="CE14" s="474"/>
    </row>
    <row r="15" spans="1:91" ht="13.5" customHeight="1" x14ac:dyDescent="0.2">
      <c r="B15" s="318"/>
      <c r="C15" s="336"/>
      <c r="D15" s="424" t="s">
        <v>32</v>
      </c>
      <c r="E15" s="445">
        <v>21916</v>
      </c>
      <c r="F15" s="374" t="s">
        <v>0</v>
      </c>
      <c r="G15" s="374">
        <v>15</v>
      </c>
      <c r="H15" s="500">
        <v>1</v>
      </c>
      <c r="I15" s="374" t="s">
        <v>67</v>
      </c>
      <c r="J15" s="374" t="s">
        <v>67</v>
      </c>
      <c r="K15" s="374" t="s">
        <v>70</v>
      </c>
      <c r="L15" s="374" t="s">
        <v>67</v>
      </c>
      <c r="M15" s="374" t="s">
        <v>301</v>
      </c>
      <c r="N15" s="444">
        <v>1</v>
      </c>
      <c r="O15" s="336"/>
      <c r="P15" s="499">
        <f>IF(F15="",0,(VLOOKUP('wgl tot'!F15,salaristabellen,'wgl tot'!G15+1,FALSE)))</f>
        <v>3482</v>
      </c>
      <c r="Q15" s="518">
        <f t="shared" ref="Q15:Q46" si="0">P15*H15</f>
        <v>3482</v>
      </c>
      <c r="R15" s="336"/>
      <c r="S15" s="493">
        <f>ROUND(IF(I15="j",VLOOKUP(BJ15,uitlooptoeslag,2,FALSE))*IF('wgl tot'!H15&gt;1,1,'wgl tot'!H15),2)</f>
        <v>31.1</v>
      </c>
      <c r="T15" s="493">
        <f>ROUND(IF(OR('wgl tot'!F15="LA",'wgl tot'!F15="LB"),IF(J15="j",tabellen!$C$79*'wgl tot'!H15,0),0),2)</f>
        <v>64.88</v>
      </c>
      <c r="U15" s="493">
        <f>ROUND(IF(('wgl tot'!Q15+'wgl tot'!S15+'wgl tot'!T15)*BL15&lt;'wgl tot'!H15*tabellen!$D$92,'wgl tot'!H15*tabellen!$D$92,('wgl tot'!Q15+'wgl tot'!S15+'wgl tot'!T15)*BL15),2)</f>
        <v>286.24</v>
      </c>
      <c r="V15" s="493">
        <f>ROUND(+('wgl tot'!Q15+'wgl tot'!S15+'wgl tot'!T15)*BM15,2)</f>
        <v>225.41</v>
      </c>
      <c r="W15" s="493">
        <f>+tabellen!$C$87*'wgl tot'!H15</f>
        <v>34.47</v>
      </c>
      <c r="X15" s="493">
        <f>VLOOKUP(BN15,eindejaarsuitkering_OOP,2,TRUE)*'wgl tot'!H15/12</f>
        <v>0</v>
      </c>
      <c r="Y15" s="493">
        <f>ROUND(IF(BO15="j",tabellen!$D$101*IF('wgl tot'!H15&gt;1,1,'wgl tot'!H15),0),2)</f>
        <v>0</v>
      </c>
      <c r="Z15" s="511">
        <f>SUM(Q15:Y15)</f>
        <v>4124.1000000000004</v>
      </c>
      <c r="AA15" s="338"/>
      <c r="AB15" s="339"/>
      <c r="AC15" s="492">
        <f>Z15*12</f>
        <v>49489.200000000004</v>
      </c>
      <c r="AD15" s="493">
        <f>ROUND(IF(L15="j",VLOOKUP(K15,bindingstoelage,2,FALSE))*IF('wgl tot'!H15&gt;1,1,'wgl tot'!H15),2)</f>
        <v>760.68</v>
      </c>
      <c r="AE15" s="493">
        <f>ROUND('wgl tot'!H15*tabellen!$D$99,2)</f>
        <v>200</v>
      </c>
      <c r="AF15" s="492">
        <f>ROUND((AC15+AD15+AE15),0)</f>
        <v>50450</v>
      </c>
      <c r="AG15" s="336"/>
      <c r="AH15" s="492">
        <f>AF15</f>
        <v>50450</v>
      </c>
      <c r="AI15" s="494">
        <f>IF('wgl tot'!E15&lt;1950,0,+('wgl tot'!Q15+'wgl tot'!S15+'wgl tot'!T15)*tabellen!$C$89)*12</f>
        <v>343.48608000000002</v>
      </c>
      <c r="AJ15" s="336"/>
      <c r="AK15" s="493">
        <f t="shared" ref="AK15:AK46" si="1">AF15/12</f>
        <v>4204.166666666667</v>
      </c>
      <c r="AL15" s="493">
        <f>IF(F15="",0,(IF('wgl tot'!AH15/'wgl tot'!H15&lt;tabellen!$E$53,0,('wgl tot'!AH15-tabellen!$E$53*'wgl tot'!H15)/12)*tabellen!$C$53))</f>
        <v>495.59416666666664</v>
      </c>
      <c r="AM15" s="493">
        <f>IF(F15="",0,(IF('wgl tot'!AH15/'wgl tot'!H15&lt;tabellen!$E$54,0,(+'wgl tot'!AH15-tabellen!$E$54*'wgl tot'!H15)/12)*tabellen!$C$54))</f>
        <v>8.75</v>
      </c>
      <c r="AN15" s="493">
        <f>'wgl tot'!AH15/12*tabellen!$C$55</f>
        <v>109.30833333333334</v>
      </c>
      <c r="AO15" s="493">
        <f>IF(H15=0,0,IF(BU15&gt;tabellen!$G$56/12,tabellen!$G$56/12,BU15)*(tabellen!$C$56+tabellen!$C$57))</f>
        <v>312.89649021933337</v>
      </c>
      <c r="AP15" s="493">
        <f>IF(F15="",0,('wgl tot'!BV15))</f>
        <v>277.14999999999998</v>
      </c>
      <c r="AQ15" s="495">
        <f>IF(F15="",0,(IF('wgl tot'!BU15&gt;tabellen!$G$59*'wgl tot'!H15/12,tabellen!$G$59*'wgl tot'!H15/12,'wgl tot'!BU15)*tabellen!$C$59))</f>
        <v>31.329815452000002</v>
      </c>
      <c r="AR15" s="495">
        <f>IF(F15="",0,('wgl tot'!BU15*IF(N15=1,tabellen!$C$60,IF(N15=2,tabellen!C61,IF(N15=3,tabellen!$C$62,tabellen!$C$63)))))</f>
        <v>234.97361589000005</v>
      </c>
      <c r="AS15" s="495">
        <f>IF(F15="",0,('wgl tot'!BU15*tabellen!$C$64))</f>
        <v>210.87375785</v>
      </c>
      <c r="AT15" s="495">
        <f>+'wgl tot'!AI15/12</f>
        <v>28.623840000000001</v>
      </c>
      <c r="AU15" s="530">
        <v>0</v>
      </c>
      <c r="AV15" s="291">
        <f t="shared" ref="AV15:AV46" si="2">SUM(AK15:AT15)</f>
        <v>5913.6666860780015</v>
      </c>
      <c r="AW15" s="515">
        <f t="shared" ref="AW15:AW46" si="3">SUM(AK15:AU15)</f>
        <v>5913.6666860780015</v>
      </c>
      <c r="AX15" s="515">
        <f>AW15*12</f>
        <v>70964.000232936014</v>
      </c>
      <c r="AY15" s="336"/>
      <c r="AZ15" s="501">
        <f>IF(AW15=0,"",(AW15/Q15-1))</f>
        <v>0.69835344229695617</v>
      </c>
      <c r="BA15" s="336"/>
      <c r="BB15" s="319"/>
      <c r="BE15" s="482">
        <f ca="1">YEAR('wgl tot'!$BE$10)-YEAR('wgl tot'!E15)</f>
        <v>58</v>
      </c>
      <c r="BF15" s="482">
        <f ca="1">MONTH('wgl tot'!$BE$10)-MONTH('wgl tot'!E15)</f>
        <v>0</v>
      </c>
      <c r="BG15" s="482">
        <f ca="1">DAY('wgl tot'!$BE$10)-DAY('wgl tot'!E15)</f>
        <v>2</v>
      </c>
      <c r="BH15" s="474">
        <f>IF(AND('wgl tot'!F15&gt;0,'wgl tot'!F15&lt;15),0,100)</f>
        <v>100</v>
      </c>
      <c r="BI15" s="474">
        <f>VLOOKUP('wgl tot'!F15,salaristabellen,22,FALSE)</f>
        <v>15</v>
      </c>
      <c r="BJ15" s="474" t="str">
        <f t="shared" ref="BJ15:BJ46" si="4">F15</f>
        <v>LA</v>
      </c>
      <c r="BK15" s="480">
        <v>42583</v>
      </c>
      <c r="BL15" s="483">
        <v>0.08</v>
      </c>
      <c r="BM15" s="484">
        <f>+tabellen!$D$93</f>
        <v>6.3E-2</v>
      </c>
      <c r="BN15" s="482">
        <f>IF('wgl tot'!BH15=100,0,'wgl tot'!F15)</f>
        <v>0</v>
      </c>
      <c r="BO15" s="484" t="str">
        <f>IF(OR('wgl tot'!F15="DA",'wgl tot'!F15="DB",'wgl tot'!F15="DBuit",'wgl tot'!F15="DC",'wgl tot'!F15="DCuit",MID('wgl tot'!F15,1,5)="meerh"),"j","n")</f>
        <v>n</v>
      </c>
      <c r="BP15" s="485"/>
      <c r="BQ15" s="486">
        <f>IF('wgl tot'!AH15/'wgl tot'!H15&lt;tabellen!$E$53,0,(+'wgl tot'!AH15-tabellen!$E$53*'wgl tot'!H15)/12*tabellen!$D$53)</f>
        <v>212.39749999999998</v>
      </c>
      <c r="BR15" s="486">
        <f>IF('wgl tot'!AH15/'wgl tot'!H15&lt;tabellen!$E$54,0,(+'wgl tot'!AH15-tabellen!$E$54*'wgl tot'!H15)/12*tabellen!$D$54)</f>
        <v>3.75</v>
      </c>
      <c r="BS15" s="486">
        <f>'wgl tot'!AH15/12*tabellen!$D$55</f>
        <v>0</v>
      </c>
      <c r="BT15" s="487">
        <f t="shared" ref="BT15:BT27" si="5">SUM(BQ15:BS15)</f>
        <v>216.14749999999998</v>
      </c>
      <c r="BU15" s="488">
        <f>+('wgl tot'!AF15+'wgl tot'!AI15)/12-'wgl tot'!BT15</f>
        <v>4016.6430066666671</v>
      </c>
      <c r="BV15" s="488">
        <f>ROUND(IF('wgl tot'!BU15&gt;tabellen!$H$58,tabellen!$H$58,'wgl tot'!BU15)*tabellen!$C$58,2)</f>
        <v>277.14999999999998</v>
      </c>
      <c r="BW15" s="488">
        <f>+'wgl tot'!BU15+'wgl tot'!BV15</f>
        <v>4293.7930066666668</v>
      </c>
      <c r="BX15" s="489">
        <f t="shared" ref="BX15:BX46" si="6">YEAR(E15)</f>
        <v>1960</v>
      </c>
      <c r="BY15" s="489">
        <f t="shared" ref="BY15:BY46" si="7">MONTH(E15)</f>
        <v>1</v>
      </c>
      <c r="BZ15" s="482">
        <f t="shared" ref="BZ15:BZ46" si="8">DAY(E15)</f>
        <v>1</v>
      </c>
      <c r="CA15" s="480">
        <f>DATE(BX15+61,BY15+6,BZ15)</f>
        <v>44378</v>
      </c>
      <c r="CB15" s="480">
        <f ca="1">NOW()</f>
        <v>43103.670106134261</v>
      </c>
      <c r="CC15" s="474"/>
      <c r="CD15" s="480"/>
      <c r="CE15" s="474"/>
      <c r="CF15" s="485"/>
      <c r="CG15" s="485"/>
      <c r="CH15" s="485"/>
      <c r="CI15" s="485"/>
      <c r="CJ15" s="485"/>
      <c r="CK15" s="485"/>
    </row>
    <row r="16" spans="1:91" ht="13.5" customHeight="1" x14ac:dyDescent="0.2">
      <c r="B16" s="318"/>
      <c r="C16" s="336"/>
      <c r="D16" s="424" t="s">
        <v>32</v>
      </c>
      <c r="E16" s="445">
        <v>21916</v>
      </c>
      <c r="F16" s="374" t="s">
        <v>0</v>
      </c>
      <c r="G16" s="374">
        <v>12</v>
      </c>
      <c r="H16" s="500">
        <v>1</v>
      </c>
      <c r="I16" s="374" t="s">
        <v>301</v>
      </c>
      <c r="J16" s="374" t="s">
        <v>301</v>
      </c>
      <c r="K16" s="374" t="s">
        <v>70</v>
      </c>
      <c r="L16" s="374" t="s">
        <v>301</v>
      </c>
      <c r="M16" s="374" t="s">
        <v>301</v>
      </c>
      <c r="N16" s="444">
        <v>1</v>
      </c>
      <c r="O16" s="336"/>
      <c r="P16" s="499">
        <f>IF(F16="",0,(VLOOKUP('wgl tot'!F16,salaristabellen,'wgl tot'!G16+1,FALSE)))</f>
        <v>3194</v>
      </c>
      <c r="Q16" s="518">
        <f t="shared" si="0"/>
        <v>3194</v>
      </c>
      <c r="R16" s="336"/>
      <c r="S16" s="493">
        <f>ROUND(IF(I16="j",VLOOKUP(BJ16,uitlooptoeslag,2,FALSE))*IF('wgl tot'!H16&gt;1,1,'wgl tot'!H16),2)</f>
        <v>0</v>
      </c>
      <c r="T16" s="493">
        <f>ROUND(IF(OR('wgl tot'!F16="LA",'wgl tot'!F16="LB"),IF(J16="j",tabellen!$C$79*'wgl tot'!H16,0),0),2)</f>
        <v>0</v>
      </c>
      <c r="U16" s="493">
        <f>ROUND(IF(('wgl tot'!Q16+'wgl tot'!S16+'wgl tot'!T16)*BL16&lt;'wgl tot'!H16*tabellen!$D$92,'wgl tot'!H16*tabellen!$D$92,('wgl tot'!Q16+'wgl tot'!S16+'wgl tot'!T16)*BL16),2)</f>
        <v>255.52</v>
      </c>
      <c r="V16" s="493">
        <f>ROUND(+('wgl tot'!Q16+'wgl tot'!S16+'wgl tot'!T16)*BM16,2)</f>
        <v>201.22</v>
      </c>
      <c r="W16" s="493">
        <f>+tabellen!$C$87*'wgl tot'!H16</f>
        <v>34.47</v>
      </c>
      <c r="X16" s="493">
        <f>VLOOKUP(BN16,eindejaarsuitkering_OOP,2,TRUE)*'wgl tot'!H16/12</f>
        <v>0</v>
      </c>
      <c r="Y16" s="493">
        <f>ROUND(IF(BO16="j",tabellen!$D$101*IF('wgl tot'!H16&gt;1,1,'wgl tot'!H16),0),2)</f>
        <v>0</v>
      </c>
      <c r="Z16" s="511">
        <f t="shared" ref="Z16:Z69" si="9">SUM(Q16:Y16)</f>
        <v>3685.2099999999996</v>
      </c>
      <c r="AA16" s="338"/>
      <c r="AB16" s="339"/>
      <c r="AC16" s="492">
        <f t="shared" ref="AC16:AC69" si="10">Z16*12</f>
        <v>44222.52</v>
      </c>
      <c r="AD16" s="493">
        <f>ROUND(IF(L16="j",VLOOKUP(K16,bindingstoelage,2,FALSE))*IF('wgl tot'!H16&gt;1,1,'wgl tot'!H16),2)</f>
        <v>0</v>
      </c>
      <c r="AE16" s="493">
        <f>ROUND('wgl tot'!H16*tabellen!$D$99,2)</f>
        <v>200</v>
      </c>
      <c r="AF16" s="492">
        <f t="shared" ref="AF16:AF69" si="11">ROUND((AC16+AD16+AE16),0)</f>
        <v>44423</v>
      </c>
      <c r="AG16" s="336"/>
      <c r="AH16" s="492">
        <f t="shared" ref="AH16:AH69" si="12">AF16</f>
        <v>44423</v>
      </c>
      <c r="AI16" s="494">
        <f>IF('wgl tot'!E16&lt;1950,0,+('wgl tot'!Q16+'wgl tot'!S16+'wgl tot'!T16)*tabellen!$C$89)*12</f>
        <v>306.62400000000002</v>
      </c>
      <c r="AJ16" s="336"/>
      <c r="AK16" s="493">
        <f t="shared" si="1"/>
        <v>3701.9166666666665</v>
      </c>
      <c r="AL16" s="493">
        <f>IF(F16="",0,(IF('wgl tot'!AH16/'wgl tot'!H16&lt;tabellen!$E$53,0,('wgl tot'!AH16-tabellen!$E$53*'wgl tot'!H16)/12)*tabellen!$C$53))</f>
        <v>415.08349166666665</v>
      </c>
      <c r="AM16" s="493">
        <f>IF(F16="",0,(IF('wgl tot'!AH16/'wgl tot'!H16&lt;tabellen!$E$54,0,(+'wgl tot'!AH16-tabellen!$E$54*'wgl tot'!H16)/12)*tabellen!$C$54))</f>
        <v>6.9921249999999997</v>
      </c>
      <c r="AN16" s="493">
        <f>'wgl tot'!AH16/12*tabellen!$C$55</f>
        <v>96.249833333333328</v>
      </c>
      <c r="AO16" s="493">
        <f>IF(H16=0,0,IF(BU16&gt;tabellen!$G$56/12,tabellen!$G$56/12,BU16)*(tabellen!$C$56+tabellen!$C$57))</f>
        <v>276.27851318833336</v>
      </c>
      <c r="AP16" s="493">
        <f>IF(F16="",0,('wgl tot'!BV16))</f>
        <v>244.71</v>
      </c>
      <c r="AQ16" s="495">
        <f>IF(F16="",0,(IF('wgl tot'!BU16&gt;tabellen!$G$59*'wgl tot'!H16/12,tabellen!$G$59*'wgl tot'!H16/12,'wgl tot'!BU16)*tabellen!$C$59))</f>
        <v>27.663317110000005</v>
      </c>
      <c r="AR16" s="495">
        <f>IF(F16="",0,('wgl tot'!BU16*IF(N16=1,tabellen!$C$60,IF(N16=2,tabellen!C62,IF(N16=3,tabellen!$C$62,tabellen!$C$63)))))</f>
        <v>207.47487832500005</v>
      </c>
      <c r="AS16" s="495">
        <f>IF(F16="",0,('wgl tot'!BU16*tabellen!$C$64))</f>
        <v>186.19540362500001</v>
      </c>
      <c r="AT16" s="495">
        <f>+'wgl tot'!AI16/12</f>
        <v>25.552000000000003</v>
      </c>
      <c r="AU16" s="530">
        <v>0</v>
      </c>
      <c r="AV16" s="291">
        <f t="shared" si="2"/>
        <v>5188.1162289149997</v>
      </c>
      <c r="AW16" s="515">
        <f t="shared" si="3"/>
        <v>5188.1162289149997</v>
      </c>
      <c r="AX16" s="515">
        <f t="shared" ref="AX16:AX69" si="13">AW16*12</f>
        <v>62257.394746979997</v>
      </c>
      <c r="AY16" s="336"/>
      <c r="AZ16" s="501">
        <f>IF(AW16=0,"",(+'wgl tot'!AW16/'wgl tot'!Q16-1))</f>
        <v>0.62433194393080771</v>
      </c>
      <c r="BA16" s="336"/>
      <c r="BB16" s="319"/>
      <c r="BE16" s="482">
        <f ca="1">YEAR('wgl tot'!$BE$10)-YEAR('wgl tot'!E16)</f>
        <v>58</v>
      </c>
      <c r="BF16" s="482">
        <f ca="1">MONTH('wgl tot'!$BE$10)-MONTH('wgl tot'!E16)</f>
        <v>0</v>
      </c>
      <c r="BG16" s="482">
        <f ca="1">DAY('wgl tot'!$BE$10)-DAY('wgl tot'!E16)</f>
        <v>2</v>
      </c>
      <c r="BH16" s="474">
        <f>IF(AND('wgl tot'!F16&gt;0,'wgl tot'!F16&lt;16),0,100)</f>
        <v>100</v>
      </c>
      <c r="BI16" s="474">
        <f>VLOOKUP('wgl tot'!F16,salaristabellen,22,FALSE)</f>
        <v>15</v>
      </c>
      <c r="BJ16" s="474" t="str">
        <f t="shared" si="4"/>
        <v>LA</v>
      </c>
      <c r="BK16" s="480">
        <v>42583</v>
      </c>
      <c r="BL16" s="483">
        <f>$BL$15</f>
        <v>0.08</v>
      </c>
      <c r="BM16" s="484">
        <f>+tabellen!$D$93</f>
        <v>6.3E-2</v>
      </c>
      <c r="BN16" s="482">
        <f>IF('wgl tot'!BH16=100,0,'wgl tot'!F16)</f>
        <v>0</v>
      </c>
      <c r="BO16" s="484" t="str">
        <f>IF(OR('wgl tot'!F16="DA",'wgl tot'!F16="DB",'wgl tot'!F16="DBuit",'wgl tot'!F16="DC",'wgl tot'!F16="DCuit",MID('wgl tot'!F16,1,5)="meerh"),"j","n")</f>
        <v>n</v>
      </c>
      <c r="BP16" s="485"/>
      <c r="BQ16" s="486">
        <f>IF('wgl tot'!AH16/'wgl tot'!H16&lt;tabellen!$E$53,0,(+'wgl tot'!AH16-tabellen!$E$53*'wgl tot'!H16)/12*tabellen!$D$53)</f>
        <v>177.89292499999999</v>
      </c>
      <c r="BR16" s="486">
        <f>IF('wgl tot'!AH16/'wgl tot'!H16&lt;tabellen!$E$54,0,(+'wgl tot'!AH16-tabellen!$E$54*'wgl tot'!H16)/12*tabellen!$D$54)</f>
        <v>2.9966249999999999</v>
      </c>
      <c r="BS16" s="486">
        <f>'wgl tot'!AH16/12*tabellen!$D$55</f>
        <v>0</v>
      </c>
      <c r="BT16" s="487">
        <f t="shared" si="5"/>
        <v>180.88954999999999</v>
      </c>
      <c r="BU16" s="488">
        <f>+('wgl tot'!AF16+'wgl tot'!AI16)/12-'wgl tot'!BT16</f>
        <v>3546.5791166666672</v>
      </c>
      <c r="BV16" s="488">
        <f>ROUND(IF('wgl tot'!BU16&gt;tabellen!$H$58,tabellen!$H$58,'wgl tot'!BU16)*tabellen!$C$58,2)</f>
        <v>244.71</v>
      </c>
      <c r="BW16" s="488">
        <f>+'wgl tot'!BU16+'wgl tot'!BV16</f>
        <v>3791.2891166666673</v>
      </c>
      <c r="BX16" s="489">
        <f t="shared" si="6"/>
        <v>1960</v>
      </c>
      <c r="BY16" s="489">
        <f t="shared" si="7"/>
        <v>1</v>
      </c>
      <c r="BZ16" s="482">
        <f t="shared" si="8"/>
        <v>1</v>
      </c>
      <c r="CA16" s="480">
        <f t="shared" ref="CA16:CA69" si="14">DATE(BX16+61,BY16+6,BZ16)</f>
        <v>44378</v>
      </c>
      <c r="CB16" s="480">
        <f t="shared" ref="CB16:CB69" ca="1" si="15">NOW()</f>
        <v>43103.670106134261</v>
      </c>
      <c r="CC16" s="474"/>
      <c r="CD16" s="480"/>
      <c r="CE16" s="474"/>
      <c r="CF16" s="485"/>
      <c r="CG16" s="485"/>
      <c r="CH16" s="485"/>
      <c r="CI16" s="485"/>
      <c r="CJ16" s="485"/>
      <c r="CK16" s="485"/>
    </row>
    <row r="17" spans="2:89" ht="13.5" customHeight="1" x14ac:dyDescent="0.2">
      <c r="B17" s="318"/>
      <c r="C17" s="336"/>
      <c r="D17" s="424" t="s">
        <v>32</v>
      </c>
      <c r="E17" s="445">
        <v>21916</v>
      </c>
      <c r="F17" s="374" t="s">
        <v>0</v>
      </c>
      <c r="G17" s="374">
        <v>12</v>
      </c>
      <c r="H17" s="500">
        <v>1</v>
      </c>
      <c r="I17" s="374" t="s">
        <v>301</v>
      </c>
      <c r="J17" s="374" t="s">
        <v>301</v>
      </c>
      <c r="K17" s="374" t="s">
        <v>70</v>
      </c>
      <c r="L17" s="374" t="s">
        <v>301</v>
      </c>
      <c r="M17" s="374" t="s">
        <v>301</v>
      </c>
      <c r="N17" s="444">
        <v>1</v>
      </c>
      <c r="O17" s="336"/>
      <c r="P17" s="499">
        <f>IF(F17="",0,(VLOOKUP('wgl tot'!F17,salaristabellen,'wgl tot'!G17+1,FALSE)))</f>
        <v>3194</v>
      </c>
      <c r="Q17" s="518">
        <f t="shared" si="0"/>
        <v>3194</v>
      </c>
      <c r="R17" s="336"/>
      <c r="S17" s="493">
        <f>ROUND(IF(I17="j",VLOOKUP(BJ17,uitlooptoeslag,2,FALSE))*IF('wgl tot'!H17&gt;1,1,'wgl tot'!H17),2)</f>
        <v>0</v>
      </c>
      <c r="T17" s="493">
        <f>ROUND(IF(OR('wgl tot'!F17="LA",'wgl tot'!F17="LB"),IF(J17="j",tabellen!$C$79*'wgl tot'!H17,0),0),2)</f>
        <v>0</v>
      </c>
      <c r="U17" s="493">
        <f>ROUND(IF(('wgl tot'!Q17+'wgl tot'!S17+'wgl tot'!T17)*BL17&lt;'wgl tot'!H17*tabellen!$D$92,'wgl tot'!H17*tabellen!$D$92,('wgl tot'!Q17+'wgl tot'!S17+'wgl tot'!T17)*BL17),2)</f>
        <v>255.52</v>
      </c>
      <c r="V17" s="493">
        <f>ROUND(+('wgl tot'!Q17+'wgl tot'!S17+'wgl tot'!T17)*BM17,2)</f>
        <v>201.22</v>
      </c>
      <c r="W17" s="493">
        <f>+tabellen!$C$87*'wgl tot'!H17</f>
        <v>34.47</v>
      </c>
      <c r="X17" s="493">
        <f>VLOOKUP(BN17,eindejaarsuitkering_OOP,2,TRUE)*'wgl tot'!H17/12</f>
        <v>0</v>
      </c>
      <c r="Y17" s="493">
        <f>ROUND(IF(BO17="j",tabellen!$D$101*IF('wgl tot'!H17&gt;1,1,'wgl tot'!H17),0),2)</f>
        <v>0</v>
      </c>
      <c r="Z17" s="511">
        <f t="shared" si="9"/>
        <v>3685.2099999999996</v>
      </c>
      <c r="AA17" s="338"/>
      <c r="AB17" s="339"/>
      <c r="AC17" s="492">
        <f t="shared" si="10"/>
        <v>44222.52</v>
      </c>
      <c r="AD17" s="493">
        <f>ROUND(IF(L17="j",VLOOKUP(K17,bindingstoelage,2,FALSE))*IF('wgl tot'!H17&gt;1,1,'wgl tot'!H17),2)</f>
        <v>0</v>
      </c>
      <c r="AE17" s="493">
        <f>ROUND('wgl tot'!H17*tabellen!$D$99,2)</f>
        <v>200</v>
      </c>
      <c r="AF17" s="492">
        <f t="shared" si="11"/>
        <v>44423</v>
      </c>
      <c r="AG17" s="336"/>
      <c r="AH17" s="492">
        <f t="shared" si="12"/>
        <v>44423</v>
      </c>
      <c r="AI17" s="494">
        <f>IF('wgl tot'!E17&lt;1950,0,+('wgl tot'!Q17+'wgl tot'!S17+'wgl tot'!T17)*tabellen!$C$89)*12</f>
        <v>306.62400000000002</v>
      </c>
      <c r="AJ17" s="336"/>
      <c r="AK17" s="493">
        <f t="shared" si="1"/>
        <v>3701.9166666666665</v>
      </c>
      <c r="AL17" s="493">
        <f>IF(F17="",0,(IF('wgl tot'!AH17/'wgl tot'!H17&lt;tabellen!$E$53,0,('wgl tot'!AH17-tabellen!$E$53*'wgl tot'!H17)/12)*tabellen!$C$53))</f>
        <v>415.08349166666665</v>
      </c>
      <c r="AM17" s="493">
        <f>IF(F17="",0,(IF('wgl tot'!AH17/'wgl tot'!H17&lt;tabellen!$E$54,0,(+'wgl tot'!AH17-tabellen!$E$54*'wgl tot'!H17)/12)*tabellen!$C$54))</f>
        <v>6.9921249999999997</v>
      </c>
      <c r="AN17" s="493">
        <f>'wgl tot'!AH17/12*tabellen!$C$55</f>
        <v>96.249833333333328</v>
      </c>
      <c r="AO17" s="493">
        <f>IF(H17=0,0,IF(BU17&gt;tabellen!$G$56/12,tabellen!$G$56/12,BU17)*(tabellen!$C$56+tabellen!$C$57))</f>
        <v>276.27851318833336</v>
      </c>
      <c r="AP17" s="493">
        <f>IF(F17="",0,('wgl tot'!BV17))</f>
        <v>244.71</v>
      </c>
      <c r="AQ17" s="495">
        <f>IF(F17="",0,(IF('wgl tot'!BU17&gt;tabellen!$G$59*'wgl tot'!H17/12,tabellen!$G$59*'wgl tot'!H17/12,'wgl tot'!BU17)*tabellen!$C$59))</f>
        <v>27.663317110000005</v>
      </c>
      <c r="AR17" s="495">
        <f>IF(F17="",0,('wgl tot'!BU17*IF(N17=1,tabellen!$C$60,IF(N17=2,tabellen!C63,IF(N17=3,tabellen!$C$62,tabellen!$C$63)))))</f>
        <v>207.47487832500005</v>
      </c>
      <c r="AS17" s="495">
        <f>IF(F17="",0,('wgl tot'!BU17*tabellen!$C$64))</f>
        <v>186.19540362500001</v>
      </c>
      <c r="AT17" s="495">
        <f>+'wgl tot'!AI17/12</f>
        <v>25.552000000000003</v>
      </c>
      <c r="AU17" s="530">
        <v>0</v>
      </c>
      <c r="AV17" s="291">
        <f t="shared" si="2"/>
        <v>5188.1162289149997</v>
      </c>
      <c r="AW17" s="515">
        <f t="shared" si="3"/>
        <v>5188.1162289149997</v>
      </c>
      <c r="AX17" s="515">
        <f t="shared" si="13"/>
        <v>62257.394746979997</v>
      </c>
      <c r="AY17" s="336"/>
      <c r="AZ17" s="501">
        <f>IF(AW17=0,"",(+'wgl tot'!AW17/'wgl tot'!Q17-1))</f>
        <v>0.62433194393080771</v>
      </c>
      <c r="BA17" s="336"/>
      <c r="BB17" s="319"/>
      <c r="BE17" s="482">
        <f ca="1">YEAR('wgl tot'!$BE$10)-YEAR('wgl tot'!E17)</f>
        <v>58</v>
      </c>
      <c r="BF17" s="482">
        <f ca="1">MONTH('wgl tot'!$BE$10)-MONTH('wgl tot'!E17)</f>
        <v>0</v>
      </c>
      <c r="BG17" s="482">
        <f ca="1">DAY('wgl tot'!$BE$10)-DAY('wgl tot'!E17)</f>
        <v>2</v>
      </c>
      <c r="BH17" s="474">
        <f>IF(AND('wgl tot'!F17&gt;0,'wgl tot'!F17&lt;16),0,100)</f>
        <v>100</v>
      </c>
      <c r="BI17" s="474">
        <f>VLOOKUP('wgl tot'!F17,salaristabellen,22,FALSE)</f>
        <v>15</v>
      </c>
      <c r="BJ17" s="474" t="str">
        <f t="shared" si="4"/>
        <v>LA</v>
      </c>
      <c r="BK17" s="480">
        <v>42583</v>
      </c>
      <c r="BL17" s="483">
        <f t="shared" ref="BL17:BL69" si="16">$BL$15</f>
        <v>0.08</v>
      </c>
      <c r="BM17" s="484">
        <f>+tabellen!$D$93</f>
        <v>6.3E-2</v>
      </c>
      <c r="BN17" s="482">
        <f>IF('wgl tot'!BH17=100,0,'wgl tot'!F17)</f>
        <v>0</v>
      </c>
      <c r="BO17" s="484" t="str">
        <f>IF(OR('wgl tot'!F17="DA",'wgl tot'!F17="DB",'wgl tot'!F17="DBuit",'wgl tot'!F17="DC",'wgl tot'!F17="DCuit",MID('wgl tot'!F17,1,5)="meerh"),"j","n")</f>
        <v>n</v>
      </c>
      <c r="BP17" s="485"/>
      <c r="BQ17" s="486">
        <f>IF('wgl tot'!AH17/'wgl tot'!H17&lt;tabellen!$E$53,0,(+'wgl tot'!AH17-tabellen!$E$53*'wgl tot'!H17)/12*tabellen!$D$53)</f>
        <v>177.89292499999999</v>
      </c>
      <c r="BR17" s="486">
        <f>IF('wgl tot'!AH17/'wgl tot'!H17&lt;tabellen!$E$54,0,(+'wgl tot'!AH17-tabellen!$E$54*'wgl tot'!H17)/12*tabellen!$D$54)</f>
        <v>2.9966249999999999</v>
      </c>
      <c r="BS17" s="486">
        <f>'wgl tot'!AH17/12*tabellen!$D$55</f>
        <v>0</v>
      </c>
      <c r="BT17" s="487">
        <f>SUM(BQ17:BS17)</f>
        <v>180.88954999999999</v>
      </c>
      <c r="BU17" s="488">
        <f>+('wgl tot'!AF17+'wgl tot'!AI17)/12-'wgl tot'!BT17</f>
        <v>3546.5791166666672</v>
      </c>
      <c r="BV17" s="488">
        <f>ROUND(IF('wgl tot'!BU17&gt;tabellen!$H$58,tabellen!$H$58,'wgl tot'!BU17)*tabellen!$C$58,2)</f>
        <v>244.71</v>
      </c>
      <c r="BW17" s="488">
        <f>+'wgl tot'!BU17+'wgl tot'!BV17</f>
        <v>3791.2891166666673</v>
      </c>
      <c r="BX17" s="489">
        <f t="shared" si="6"/>
        <v>1960</v>
      </c>
      <c r="BY17" s="489">
        <f t="shared" si="7"/>
        <v>1</v>
      </c>
      <c r="BZ17" s="482">
        <f t="shared" si="8"/>
        <v>1</v>
      </c>
      <c r="CA17" s="480">
        <f t="shared" si="14"/>
        <v>44378</v>
      </c>
      <c r="CB17" s="480">
        <f t="shared" ca="1" si="15"/>
        <v>43103.670106134261</v>
      </c>
      <c r="CC17" s="474"/>
      <c r="CD17" s="480"/>
      <c r="CE17" s="474"/>
      <c r="CF17" s="485"/>
      <c r="CG17" s="485"/>
      <c r="CH17" s="485"/>
      <c r="CI17" s="485"/>
      <c r="CJ17" s="485"/>
      <c r="CK17" s="485"/>
    </row>
    <row r="18" spans="2:89" ht="13.5" customHeight="1" x14ac:dyDescent="0.2">
      <c r="B18" s="318"/>
      <c r="C18" s="336"/>
      <c r="D18" s="286"/>
      <c r="E18" s="287"/>
      <c r="F18" s="374"/>
      <c r="G18" s="288"/>
      <c r="H18" s="289"/>
      <c r="I18" s="288"/>
      <c r="J18" s="288"/>
      <c r="K18" s="288"/>
      <c r="L18" s="288"/>
      <c r="M18" s="288"/>
      <c r="N18" s="290"/>
      <c r="O18" s="336"/>
      <c r="P18" s="499">
        <f>IF(F18="",0,(VLOOKUP('wgl tot'!F18,salaristabellen,'wgl tot'!G18+1,FALSE)))</f>
        <v>0</v>
      </c>
      <c r="Q18" s="518">
        <f t="shared" si="0"/>
        <v>0</v>
      </c>
      <c r="R18" s="336"/>
      <c r="S18" s="493">
        <f>ROUND(IF(I18="j",VLOOKUP(BJ18,uitlooptoeslag,2,FALSE))*IF('wgl tot'!H18&gt;1,1,'wgl tot'!H18),2)</f>
        <v>0</v>
      </c>
      <c r="T18" s="493">
        <f>ROUND(IF(OR('wgl tot'!F18="LA",'wgl tot'!F18="LB"),IF(J18="j",tabellen!$C$79*'wgl tot'!H18,0),0),2)</f>
        <v>0</v>
      </c>
      <c r="U18" s="493">
        <f>ROUND(IF(('wgl tot'!Q18+'wgl tot'!S18+'wgl tot'!T18)*BL18&lt;'wgl tot'!H18*tabellen!$D$92,'wgl tot'!H18*tabellen!$D$92,('wgl tot'!Q18+'wgl tot'!S18+'wgl tot'!T18)*BL18),2)</f>
        <v>0</v>
      </c>
      <c r="V18" s="493">
        <f>ROUND(+('wgl tot'!Q18+'wgl tot'!S18+'wgl tot'!T18)*BM18,2)</f>
        <v>0</v>
      </c>
      <c r="W18" s="493">
        <f>+tabellen!$C$87*'wgl tot'!H18</f>
        <v>0</v>
      </c>
      <c r="X18" s="493">
        <f>VLOOKUP(BN18,eindejaarsuitkering_OOP,2,TRUE)*'wgl tot'!H18/12</f>
        <v>0</v>
      </c>
      <c r="Y18" s="493">
        <f>ROUND(IF(BO18="j",tabellen!$D$101*IF('wgl tot'!H18&gt;1,1,'wgl tot'!H18),0),2)</f>
        <v>0</v>
      </c>
      <c r="Z18" s="511">
        <f t="shared" si="9"/>
        <v>0</v>
      </c>
      <c r="AA18" s="338"/>
      <c r="AB18" s="339"/>
      <c r="AC18" s="492">
        <f t="shared" si="10"/>
        <v>0</v>
      </c>
      <c r="AD18" s="493">
        <f>ROUND(IF(L18="j",VLOOKUP(K18,bindingstoelage,2,FALSE))*IF('wgl tot'!H18&gt;1,1,'wgl tot'!H18),2)</f>
        <v>0</v>
      </c>
      <c r="AE18" s="493">
        <f>ROUND('wgl tot'!H18*tabellen!$D$99,2)</f>
        <v>0</v>
      </c>
      <c r="AF18" s="492">
        <f t="shared" si="11"/>
        <v>0</v>
      </c>
      <c r="AG18" s="336"/>
      <c r="AH18" s="492">
        <f t="shared" si="12"/>
        <v>0</v>
      </c>
      <c r="AI18" s="494">
        <f>IF('wgl tot'!E18&lt;1950,0,+('wgl tot'!Q18+'wgl tot'!S18+'wgl tot'!T18)*tabellen!$C$89)*12</f>
        <v>0</v>
      </c>
      <c r="AJ18" s="336"/>
      <c r="AK18" s="493">
        <f t="shared" si="1"/>
        <v>0</v>
      </c>
      <c r="AL18" s="493">
        <f>IF(F18="",0,(IF('wgl tot'!AH18/'wgl tot'!H18&lt;tabellen!$E$53,0,('wgl tot'!AH18-tabellen!$E$53*'wgl tot'!H18)/12)*tabellen!$C$53))</f>
        <v>0</v>
      </c>
      <c r="AM18" s="493">
        <f>IF(F18="",0,(IF('wgl tot'!AH18/'wgl tot'!H18&lt;tabellen!$E$54,0,(+'wgl tot'!AH18-tabellen!$E$54*'wgl tot'!H18)/12)*tabellen!$C$54))</f>
        <v>0</v>
      </c>
      <c r="AN18" s="493">
        <f>'wgl tot'!AH18/12*tabellen!$C$55</f>
        <v>0</v>
      </c>
      <c r="AO18" s="493">
        <f>IF(H18=0,0,IF(BU18&gt;tabellen!$G$56/12,tabellen!$G$56/12,BU18)*(tabellen!$C$56+tabellen!$C$57))</f>
        <v>0</v>
      </c>
      <c r="AP18" s="493">
        <f>IF(F18="",0,('wgl tot'!BV18))</f>
        <v>0</v>
      </c>
      <c r="AQ18" s="495">
        <f>IF(F18="",0,(IF('wgl tot'!BU18&gt;tabellen!$G$59*'wgl tot'!H18/12,tabellen!$G$59*'wgl tot'!H18/12,'wgl tot'!BU18)*tabellen!$C$59))</f>
        <v>0</v>
      </c>
      <c r="AR18" s="495">
        <f>IF(F18="",0,('wgl tot'!BU18*IF(N18=1,tabellen!$C$60,IF(N18=2,tabellen!C64,IF(N18=3,tabellen!$C$62,tabellen!$C$63)))))</f>
        <v>0</v>
      </c>
      <c r="AS18" s="495">
        <f>IF(F18="",0,('wgl tot'!BU18*tabellen!$C$64))</f>
        <v>0</v>
      </c>
      <c r="AT18" s="495">
        <f>+'wgl tot'!AI18/12</f>
        <v>0</v>
      </c>
      <c r="AU18" s="530">
        <v>0</v>
      </c>
      <c r="AV18" s="291">
        <f t="shared" si="2"/>
        <v>0</v>
      </c>
      <c r="AW18" s="515">
        <f t="shared" si="3"/>
        <v>0</v>
      </c>
      <c r="AX18" s="515">
        <f t="shared" si="13"/>
        <v>0</v>
      </c>
      <c r="AY18" s="336"/>
      <c r="AZ18" s="501" t="str">
        <f>IF(AW18=0,"",(+'wgl tot'!AW18/'wgl tot'!Q18-1))</f>
        <v/>
      </c>
      <c r="BA18" s="336"/>
      <c r="BB18" s="319"/>
      <c r="BE18" s="482">
        <f ca="1">YEAR('wgl tot'!$BE$10)-YEAR('wgl tot'!E18)</f>
        <v>118</v>
      </c>
      <c r="BF18" s="482">
        <f ca="1">MONTH('wgl tot'!$BE$10)-MONTH('wgl tot'!E18)</f>
        <v>0</v>
      </c>
      <c r="BG18" s="482">
        <f ca="1">DAY('wgl tot'!$BE$10)-DAY('wgl tot'!E18)</f>
        <v>3</v>
      </c>
      <c r="BH18" s="474">
        <f>IF(AND('wgl tot'!F18&gt;0,'wgl tot'!F18&lt;16),0,100)</f>
        <v>100</v>
      </c>
      <c r="BI18" s="474" t="e">
        <f>VLOOKUP('wgl tot'!F18,salaristabellen,22,FALSE)</f>
        <v>#N/A</v>
      </c>
      <c r="BJ18" s="474">
        <f t="shared" si="4"/>
        <v>0</v>
      </c>
      <c r="BK18" s="480">
        <v>42583</v>
      </c>
      <c r="BL18" s="483">
        <f t="shared" si="16"/>
        <v>0.08</v>
      </c>
      <c r="BM18" s="484">
        <f>+tabellen!$D$93</f>
        <v>6.3E-2</v>
      </c>
      <c r="BN18" s="482">
        <f>IF('wgl tot'!BH18=100,0,'wgl tot'!F18)</f>
        <v>0</v>
      </c>
      <c r="BO18" s="484" t="str">
        <f>IF(OR('wgl tot'!F18="DA",'wgl tot'!F18="DB",'wgl tot'!F18="DBuit",'wgl tot'!F18="DC",'wgl tot'!F18="DCuit",MID('wgl tot'!F18,1,5)="meerh"),"j","n")</f>
        <v>n</v>
      </c>
      <c r="BP18" s="485"/>
      <c r="BQ18" s="486" t="e">
        <f>IF('wgl tot'!AH18/'wgl tot'!H18&lt;tabellen!$E$53,0,(+'wgl tot'!AH18-tabellen!$E$53*'wgl tot'!H18)/12*tabellen!$D$53)</f>
        <v>#DIV/0!</v>
      </c>
      <c r="BR18" s="486" t="e">
        <f>IF('wgl tot'!AH18/'wgl tot'!H18&lt;tabellen!$E$54,0,(+'wgl tot'!AH18-tabellen!$E$54*'wgl tot'!H18)/12*tabellen!$D$54)</f>
        <v>#DIV/0!</v>
      </c>
      <c r="BS18" s="486">
        <f>'wgl tot'!AH18/12*tabellen!$D$55</f>
        <v>0</v>
      </c>
      <c r="BT18" s="487" t="e">
        <f t="shared" si="5"/>
        <v>#DIV/0!</v>
      </c>
      <c r="BU18" s="488" t="e">
        <f>+('wgl tot'!AF18+'wgl tot'!AI18)/12-'wgl tot'!BT18</f>
        <v>#DIV/0!</v>
      </c>
      <c r="BV18" s="488" t="e">
        <f>ROUND(IF('wgl tot'!BU18&gt;tabellen!$H$58,tabellen!$H$58,'wgl tot'!BU18)*tabellen!$C$58,2)</f>
        <v>#DIV/0!</v>
      </c>
      <c r="BW18" s="488" t="e">
        <f>+'wgl tot'!BU18+'wgl tot'!BV18</f>
        <v>#DIV/0!</v>
      </c>
      <c r="BX18" s="489">
        <f t="shared" si="6"/>
        <v>1900</v>
      </c>
      <c r="BY18" s="489">
        <f t="shared" si="7"/>
        <v>1</v>
      </c>
      <c r="BZ18" s="482">
        <f t="shared" si="8"/>
        <v>0</v>
      </c>
      <c r="CA18" s="480">
        <f t="shared" si="14"/>
        <v>22462</v>
      </c>
      <c r="CB18" s="480">
        <f t="shared" ca="1" si="15"/>
        <v>43103.670106134261</v>
      </c>
      <c r="CC18" s="474"/>
      <c r="CD18" s="480"/>
      <c r="CE18" s="474"/>
      <c r="CF18" s="485"/>
      <c r="CG18" s="485"/>
      <c r="CH18" s="485"/>
      <c r="CI18" s="485"/>
      <c r="CJ18" s="485"/>
      <c r="CK18" s="485"/>
    </row>
    <row r="19" spans="2:89" ht="13.5" customHeight="1" x14ac:dyDescent="0.2">
      <c r="B19" s="318"/>
      <c r="C19" s="336"/>
      <c r="D19" s="286"/>
      <c r="E19" s="287"/>
      <c r="F19" s="374"/>
      <c r="G19" s="288"/>
      <c r="H19" s="289"/>
      <c r="I19" s="288"/>
      <c r="J19" s="288"/>
      <c r="K19" s="288"/>
      <c r="L19" s="288"/>
      <c r="M19" s="288"/>
      <c r="N19" s="290"/>
      <c r="O19" s="336"/>
      <c r="P19" s="499">
        <f>IF(F19="",0,(VLOOKUP('wgl tot'!F19,salaristabellen,'wgl tot'!G19+1,FALSE)))</f>
        <v>0</v>
      </c>
      <c r="Q19" s="518">
        <f t="shared" si="0"/>
        <v>0</v>
      </c>
      <c r="R19" s="336"/>
      <c r="S19" s="493">
        <f>ROUND(IF(I19="j",VLOOKUP(BJ19,uitlooptoeslag,2,FALSE))*IF('wgl tot'!H19&gt;1,1,'wgl tot'!H19),2)</f>
        <v>0</v>
      </c>
      <c r="T19" s="493">
        <f>ROUND(IF(OR('wgl tot'!F19="LA",'wgl tot'!F19="LB"),IF(J19="j",tabellen!$C$79*'wgl tot'!H19,0),0),2)</f>
        <v>0</v>
      </c>
      <c r="U19" s="493">
        <f>ROUND(IF(('wgl tot'!Q19+'wgl tot'!S19+'wgl tot'!T19)*BL19&lt;'wgl tot'!H19*tabellen!$D$92,'wgl tot'!H19*tabellen!$D$92,('wgl tot'!Q19+'wgl tot'!S19+'wgl tot'!T19)*BL19),2)</f>
        <v>0</v>
      </c>
      <c r="V19" s="493">
        <f>ROUND(+('wgl tot'!Q19+'wgl tot'!S19+'wgl tot'!T19)*BM19,2)</f>
        <v>0</v>
      </c>
      <c r="W19" s="493">
        <f>+tabellen!$C$87*'wgl tot'!H19</f>
        <v>0</v>
      </c>
      <c r="X19" s="493">
        <f>VLOOKUP(BN19,eindejaarsuitkering_OOP,2,TRUE)*'wgl tot'!H19/12</f>
        <v>0</v>
      </c>
      <c r="Y19" s="493">
        <f>ROUND(IF(BO19="j",tabellen!$D$101*IF('wgl tot'!H19&gt;1,1,'wgl tot'!H19),0),2)</f>
        <v>0</v>
      </c>
      <c r="Z19" s="511">
        <f t="shared" si="9"/>
        <v>0</v>
      </c>
      <c r="AA19" s="338"/>
      <c r="AB19" s="339"/>
      <c r="AC19" s="492">
        <f t="shared" si="10"/>
        <v>0</v>
      </c>
      <c r="AD19" s="493">
        <f>ROUND(IF(L19="j",VLOOKUP(K19,bindingstoelage,2,FALSE))*IF('wgl tot'!H19&gt;1,1,'wgl tot'!H19),2)</f>
        <v>0</v>
      </c>
      <c r="AE19" s="493">
        <f>ROUND('wgl tot'!H19*tabellen!$D$99,2)</f>
        <v>0</v>
      </c>
      <c r="AF19" s="492">
        <f t="shared" si="11"/>
        <v>0</v>
      </c>
      <c r="AG19" s="336"/>
      <c r="AH19" s="492">
        <f t="shared" si="12"/>
        <v>0</v>
      </c>
      <c r="AI19" s="494">
        <f>IF('wgl tot'!E19&lt;1950,0,+('wgl tot'!Q19+'wgl tot'!S19+'wgl tot'!T19)*tabellen!$C$89)*12</f>
        <v>0</v>
      </c>
      <c r="AJ19" s="336"/>
      <c r="AK19" s="493">
        <f t="shared" si="1"/>
        <v>0</v>
      </c>
      <c r="AL19" s="493">
        <f>IF(F19="",0,(IF('wgl tot'!AH19/'wgl tot'!H19&lt;tabellen!$E$53,0,('wgl tot'!AH19-tabellen!$E$53*'wgl tot'!H19)/12)*tabellen!$C$53))</f>
        <v>0</v>
      </c>
      <c r="AM19" s="493">
        <f>IF(F19="",0,(IF('wgl tot'!AH19/'wgl tot'!H19&lt;tabellen!$E$54,0,(+'wgl tot'!AH19-tabellen!$E$54*'wgl tot'!H19)/12)*tabellen!$C$54))</f>
        <v>0</v>
      </c>
      <c r="AN19" s="493">
        <f>'wgl tot'!AH19/12*tabellen!$C$55</f>
        <v>0</v>
      </c>
      <c r="AO19" s="493">
        <f>IF(H19=0,0,IF(BU19&gt;tabellen!$G$56/12,tabellen!$G$56/12,BU19)*(tabellen!$C$56+tabellen!$C$57))</f>
        <v>0</v>
      </c>
      <c r="AP19" s="493">
        <f>IF(F19="",0,('wgl tot'!BV19))</f>
        <v>0</v>
      </c>
      <c r="AQ19" s="495">
        <f>IF(F19="",0,(IF('wgl tot'!BU19&gt;tabellen!$G$59*'wgl tot'!H19/12,tabellen!$G$59*'wgl tot'!H19/12,'wgl tot'!BU19)*tabellen!$C$59))</f>
        <v>0</v>
      </c>
      <c r="AR19" s="495">
        <f>IF(F19="",0,('wgl tot'!BU19*IF(N19=1,tabellen!$C$60,IF(N19=2,tabellen!C65,IF(N19=3,tabellen!$C$62,tabellen!$C$63)))))</f>
        <v>0</v>
      </c>
      <c r="AS19" s="495">
        <f>IF(F19="",0,('wgl tot'!BU19*tabellen!$C$64))</f>
        <v>0</v>
      </c>
      <c r="AT19" s="495">
        <f>+'wgl tot'!AI19/12</f>
        <v>0</v>
      </c>
      <c r="AU19" s="530">
        <v>0</v>
      </c>
      <c r="AV19" s="291">
        <f t="shared" si="2"/>
        <v>0</v>
      </c>
      <c r="AW19" s="515">
        <f t="shared" si="3"/>
        <v>0</v>
      </c>
      <c r="AX19" s="515">
        <f t="shared" si="13"/>
        <v>0</v>
      </c>
      <c r="AY19" s="336"/>
      <c r="AZ19" s="501" t="str">
        <f>IF(AW19=0,"",(+'wgl tot'!AW19/'wgl tot'!Q19-1))</f>
        <v/>
      </c>
      <c r="BA19" s="336"/>
      <c r="BB19" s="319"/>
      <c r="BE19" s="482">
        <f ca="1">YEAR('wgl tot'!$BE$10)-YEAR('wgl tot'!E19)</f>
        <v>118</v>
      </c>
      <c r="BF19" s="482">
        <f ca="1">MONTH('wgl tot'!$BE$10)-MONTH('wgl tot'!E19)</f>
        <v>0</v>
      </c>
      <c r="BG19" s="482">
        <f ca="1">DAY('wgl tot'!$BE$10)-DAY('wgl tot'!E19)</f>
        <v>3</v>
      </c>
      <c r="BH19" s="474">
        <f>IF(AND('wgl tot'!F19&gt;0,'wgl tot'!F19&lt;16),0,100)</f>
        <v>100</v>
      </c>
      <c r="BI19" s="474" t="e">
        <f>VLOOKUP('wgl tot'!F19,salaristabellen,22,FALSE)</f>
        <v>#N/A</v>
      </c>
      <c r="BJ19" s="474">
        <f t="shared" si="4"/>
        <v>0</v>
      </c>
      <c r="BK19" s="480">
        <v>42583</v>
      </c>
      <c r="BL19" s="483">
        <f t="shared" si="16"/>
        <v>0.08</v>
      </c>
      <c r="BM19" s="484">
        <f>+tabellen!$D$93</f>
        <v>6.3E-2</v>
      </c>
      <c r="BN19" s="482">
        <f>IF('wgl tot'!BH19=100,0,'wgl tot'!F19)</f>
        <v>0</v>
      </c>
      <c r="BO19" s="484" t="str">
        <f>IF(OR('wgl tot'!F19="DA",'wgl tot'!F19="DB",'wgl tot'!F19="DBuit",'wgl tot'!F19="DC",'wgl tot'!F19="DCuit",MID('wgl tot'!F19,1,5)="meerh"),"j","n")</f>
        <v>n</v>
      </c>
      <c r="BP19" s="485"/>
      <c r="BQ19" s="486" t="e">
        <f>IF('wgl tot'!AH19/'wgl tot'!H19&lt;tabellen!$E$53,0,(+'wgl tot'!AH19-tabellen!$E$53*'wgl tot'!H19)/12*tabellen!$D$53)</f>
        <v>#DIV/0!</v>
      </c>
      <c r="BR19" s="486" t="e">
        <f>IF('wgl tot'!AH19/'wgl tot'!H19&lt;tabellen!$E$54,0,(+'wgl tot'!AH19-tabellen!$E$54*'wgl tot'!H19)/12*tabellen!$D$54)</f>
        <v>#DIV/0!</v>
      </c>
      <c r="BS19" s="486">
        <f>'wgl tot'!AH19/12*tabellen!$D$55</f>
        <v>0</v>
      </c>
      <c r="BT19" s="487" t="e">
        <f t="shared" si="5"/>
        <v>#DIV/0!</v>
      </c>
      <c r="BU19" s="488" t="e">
        <f>+('wgl tot'!AF19+'wgl tot'!AI19)/12-'wgl tot'!BT19</f>
        <v>#DIV/0!</v>
      </c>
      <c r="BV19" s="488" t="e">
        <f>ROUND(IF('wgl tot'!BU19&gt;tabellen!$H$58,tabellen!$H$58,'wgl tot'!BU19)*tabellen!$C$58,2)</f>
        <v>#DIV/0!</v>
      </c>
      <c r="BW19" s="488" t="e">
        <f>+'wgl tot'!BU19+'wgl tot'!BV19</f>
        <v>#DIV/0!</v>
      </c>
      <c r="BX19" s="489">
        <f t="shared" si="6"/>
        <v>1900</v>
      </c>
      <c r="BY19" s="489">
        <f t="shared" si="7"/>
        <v>1</v>
      </c>
      <c r="BZ19" s="482">
        <f t="shared" si="8"/>
        <v>0</v>
      </c>
      <c r="CA19" s="480">
        <f t="shared" si="14"/>
        <v>22462</v>
      </c>
      <c r="CB19" s="480">
        <f t="shared" ca="1" si="15"/>
        <v>43103.670106134261</v>
      </c>
      <c r="CC19" s="474"/>
      <c r="CD19" s="480"/>
      <c r="CE19" s="474"/>
      <c r="CF19" s="485"/>
      <c r="CG19" s="485"/>
      <c r="CH19" s="485"/>
      <c r="CI19" s="485"/>
      <c r="CJ19" s="485"/>
      <c r="CK19" s="485"/>
    </row>
    <row r="20" spans="2:89" ht="13.5" customHeight="1" x14ac:dyDescent="0.2">
      <c r="B20" s="318"/>
      <c r="C20" s="336"/>
      <c r="D20" s="286"/>
      <c r="E20" s="287"/>
      <c r="F20" s="374"/>
      <c r="G20" s="288"/>
      <c r="H20" s="289"/>
      <c r="I20" s="288"/>
      <c r="J20" s="288"/>
      <c r="K20" s="288"/>
      <c r="L20" s="288"/>
      <c r="M20" s="288"/>
      <c r="N20" s="290"/>
      <c r="O20" s="336"/>
      <c r="P20" s="499">
        <f>IF(F20="",0,(VLOOKUP('wgl tot'!F20,salaristabellen,'wgl tot'!G20+1,FALSE)))</f>
        <v>0</v>
      </c>
      <c r="Q20" s="518">
        <f t="shared" si="0"/>
        <v>0</v>
      </c>
      <c r="R20" s="336"/>
      <c r="S20" s="493">
        <f>ROUND(IF(I20="j",VLOOKUP(BJ20,uitlooptoeslag,2,FALSE))*IF('wgl tot'!H20&gt;1,1,'wgl tot'!H20),2)</f>
        <v>0</v>
      </c>
      <c r="T20" s="493">
        <f>ROUND(IF(OR('wgl tot'!F20="LA",'wgl tot'!F20="LB"),IF(J20="j",tabellen!$C$79*'wgl tot'!H20,0),0),2)</f>
        <v>0</v>
      </c>
      <c r="U20" s="493">
        <f>ROUND(IF(('wgl tot'!Q20+'wgl tot'!S20+'wgl tot'!T20)*BL20&lt;'wgl tot'!H20*tabellen!$D$92,'wgl tot'!H20*tabellen!$D$92,('wgl tot'!Q20+'wgl tot'!S20+'wgl tot'!T20)*BL20),2)</f>
        <v>0</v>
      </c>
      <c r="V20" s="493">
        <f>ROUND(+('wgl tot'!Q20+'wgl tot'!S20+'wgl tot'!T20)*BM20,2)</f>
        <v>0</v>
      </c>
      <c r="W20" s="493">
        <f>+tabellen!$C$87*'wgl tot'!H20</f>
        <v>0</v>
      </c>
      <c r="X20" s="493">
        <f>VLOOKUP(BN20,eindejaarsuitkering_OOP,2,TRUE)*'wgl tot'!H20/12</f>
        <v>0</v>
      </c>
      <c r="Y20" s="493">
        <f>ROUND(IF(BO20="j",tabellen!$D$101*IF('wgl tot'!H20&gt;1,1,'wgl tot'!H20),0),2)</f>
        <v>0</v>
      </c>
      <c r="Z20" s="511">
        <f t="shared" si="9"/>
        <v>0</v>
      </c>
      <c r="AA20" s="338"/>
      <c r="AB20" s="339"/>
      <c r="AC20" s="492">
        <f t="shared" si="10"/>
        <v>0</v>
      </c>
      <c r="AD20" s="493">
        <f>ROUND(IF(L20="j",VLOOKUP(K20,bindingstoelage,2,FALSE))*IF('wgl tot'!H20&gt;1,1,'wgl tot'!H20),2)</f>
        <v>0</v>
      </c>
      <c r="AE20" s="493">
        <f>ROUND('wgl tot'!H20*tabellen!$D$99,2)</f>
        <v>0</v>
      </c>
      <c r="AF20" s="492">
        <f t="shared" si="11"/>
        <v>0</v>
      </c>
      <c r="AG20" s="336"/>
      <c r="AH20" s="492">
        <f t="shared" si="12"/>
        <v>0</v>
      </c>
      <c r="AI20" s="494">
        <f>IF('wgl tot'!E20&lt;1950,0,+('wgl tot'!Q20+'wgl tot'!S20+'wgl tot'!T20)*tabellen!$C$89)*12</f>
        <v>0</v>
      </c>
      <c r="AJ20" s="336"/>
      <c r="AK20" s="493">
        <f t="shared" si="1"/>
        <v>0</v>
      </c>
      <c r="AL20" s="493">
        <f>IF(F20="",0,(IF('wgl tot'!AH20/'wgl tot'!H20&lt;tabellen!$E$53,0,('wgl tot'!AH20-tabellen!$E$53*'wgl tot'!H20)/12)*tabellen!$C$53))</f>
        <v>0</v>
      </c>
      <c r="AM20" s="493">
        <f>IF(F20="",0,(IF('wgl tot'!AH20/'wgl tot'!H20&lt;tabellen!$E$54,0,(+'wgl tot'!AH20-tabellen!$E$54*'wgl tot'!H20)/12)*tabellen!$C$54))</f>
        <v>0</v>
      </c>
      <c r="AN20" s="493">
        <f>'wgl tot'!AH20/12*tabellen!$C$55</f>
        <v>0</v>
      </c>
      <c r="AO20" s="493">
        <f>IF(H20=0,0,IF(BU20&gt;tabellen!$G$56/12,tabellen!$G$56/12,BU20)*(tabellen!$C$56+tabellen!$C$57))</f>
        <v>0</v>
      </c>
      <c r="AP20" s="493">
        <f>IF(F20="",0,('wgl tot'!BV20))</f>
        <v>0</v>
      </c>
      <c r="AQ20" s="495">
        <f>IF(F20="",0,(IF('wgl tot'!BU20&gt;tabellen!$G$59*'wgl tot'!H20/12,tabellen!$G$59*'wgl tot'!H20/12,'wgl tot'!BU20)*tabellen!$C$59))</f>
        <v>0</v>
      </c>
      <c r="AR20" s="495">
        <f>IF(F20="",0,('wgl tot'!BU20*IF(N20=1,tabellen!$C$60,IF(N20=2,tabellen!C66,IF(N20=3,tabellen!$C$62,tabellen!$C$63)))))</f>
        <v>0</v>
      </c>
      <c r="AS20" s="495">
        <f>IF(F20="",0,('wgl tot'!BU20*tabellen!$C$64))</f>
        <v>0</v>
      </c>
      <c r="AT20" s="495">
        <f>+'wgl tot'!AI20/12</f>
        <v>0</v>
      </c>
      <c r="AU20" s="530">
        <v>0</v>
      </c>
      <c r="AV20" s="291">
        <f t="shared" si="2"/>
        <v>0</v>
      </c>
      <c r="AW20" s="515">
        <f t="shared" si="3"/>
        <v>0</v>
      </c>
      <c r="AX20" s="515">
        <f t="shared" si="13"/>
        <v>0</v>
      </c>
      <c r="AY20" s="336"/>
      <c r="AZ20" s="501" t="str">
        <f>IF(AW20=0,"",(+'wgl tot'!AW20/'wgl tot'!Q20-1))</f>
        <v/>
      </c>
      <c r="BA20" s="336"/>
      <c r="BB20" s="319"/>
      <c r="BE20" s="482">
        <f ca="1">YEAR('wgl tot'!$BE$10)-YEAR('wgl tot'!E20)</f>
        <v>118</v>
      </c>
      <c r="BF20" s="482">
        <f ca="1">MONTH('wgl tot'!$BE$10)-MONTH('wgl tot'!E20)</f>
        <v>0</v>
      </c>
      <c r="BG20" s="482">
        <f ca="1">DAY('wgl tot'!$BE$10)-DAY('wgl tot'!E20)</f>
        <v>3</v>
      </c>
      <c r="BH20" s="474">
        <f>IF(AND('wgl tot'!F20&gt;0,'wgl tot'!F20&lt;16),0,100)</f>
        <v>100</v>
      </c>
      <c r="BI20" s="474" t="e">
        <f>VLOOKUP('wgl tot'!F20,salaristabellen,22,FALSE)</f>
        <v>#N/A</v>
      </c>
      <c r="BJ20" s="474">
        <f t="shared" si="4"/>
        <v>0</v>
      </c>
      <c r="BK20" s="480">
        <v>42583</v>
      </c>
      <c r="BL20" s="483">
        <f t="shared" si="16"/>
        <v>0.08</v>
      </c>
      <c r="BM20" s="484">
        <f>+tabellen!$D$93</f>
        <v>6.3E-2</v>
      </c>
      <c r="BN20" s="482">
        <f>IF('wgl tot'!BH20=100,0,'wgl tot'!F20)</f>
        <v>0</v>
      </c>
      <c r="BO20" s="484" t="str">
        <f>IF(OR('wgl tot'!F20="DA",'wgl tot'!F20="DB",'wgl tot'!F20="DBuit",'wgl tot'!F20="DC",'wgl tot'!F20="DCuit",MID('wgl tot'!F20,1,5)="meerh"),"j","n")</f>
        <v>n</v>
      </c>
      <c r="BP20" s="485"/>
      <c r="BQ20" s="486" t="e">
        <f>IF('wgl tot'!AH20/'wgl tot'!H20&lt;tabellen!$E$53,0,(+'wgl tot'!AH20-tabellen!$E$53*'wgl tot'!H20)/12*tabellen!$D$53)</f>
        <v>#DIV/0!</v>
      </c>
      <c r="BR20" s="486" t="e">
        <f>IF('wgl tot'!AH20/'wgl tot'!H20&lt;tabellen!$E$54,0,(+'wgl tot'!AH20-tabellen!$E$54*'wgl tot'!H20)/12*tabellen!$D$54)</f>
        <v>#DIV/0!</v>
      </c>
      <c r="BS20" s="486">
        <f>'wgl tot'!AH20/12*tabellen!$D$55</f>
        <v>0</v>
      </c>
      <c r="BT20" s="487" t="e">
        <f t="shared" si="5"/>
        <v>#DIV/0!</v>
      </c>
      <c r="BU20" s="488" t="e">
        <f>+('wgl tot'!AF20+'wgl tot'!AI20)/12-'wgl tot'!BT20</f>
        <v>#DIV/0!</v>
      </c>
      <c r="BV20" s="488" t="e">
        <f>ROUND(IF('wgl tot'!BU20&gt;tabellen!$H$58,tabellen!$H$58,'wgl tot'!BU20)*tabellen!$C$58,2)</f>
        <v>#DIV/0!</v>
      </c>
      <c r="BW20" s="488" t="e">
        <f>+'wgl tot'!BU20+'wgl tot'!BV20</f>
        <v>#DIV/0!</v>
      </c>
      <c r="BX20" s="489">
        <f t="shared" si="6"/>
        <v>1900</v>
      </c>
      <c r="BY20" s="489">
        <f t="shared" si="7"/>
        <v>1</v>
      </c>
      <c r="BZ20" s="482">
        <f t="shared" si="8"/>
        <v>0</v>
      </c>
      <c r="CA20" s="480">
        <f t="shared" si="14"/>
        <v>22462</v>
      </c>
      <c r="CB20" s="480">
        <f t="shared" ca="1" si="15"/>
        <v>43103.670106134261</v>
      </c>
      <c r="CC20" s="474"/>
      <c r="CD20" s="480"/>
      <c r="CE20" s="474"/>
      <c r="CF20" s="485"/>
      <c r="CG20" s="485"/>
      <c r="CH20" s="485"/>
      <c r="CI20" s="485"/>
      <c r="CJ20" s="485"/>
      <c r="CK20" s="485"/>
    </row>
    <row r="21" spans="2:89" ht="13.5" customHeight="1" x14ac:dyDescent="0.2">
      <c r="B21" s="318"/>
      <c r="C21" s="336"/>
      <c r="D21" s="286"/>
      <c r="E21" s="287"/>
      <c r="F21" s="374"/>
      <c r="G21" s="288"/>
      <c r="H21" s="289"/>
      <c r="I21" s="288"/>
      <c r="J21" s="288"/>
      <c r="K21" s="288"/>
      <c r="L21" s="288"/>
      <c r="M21" s="288"/>
      <c r="N21" s="290"/>
      <c r="O21" s="336"/>
      <c r="P21" s="499">
        <f>IF(F21="",0,(VLOOKUP('wgl tot'!F21,salaristabellen,'wgl tot'!G21+1,FALSE)))</f>
        <v>0</v>
      </c>
      <c r="Q21" s="518">
        <f t="shared" si="0"/>
        <v>0</v>
      </c>
      <c r="R21" s="336"/>
      <c r="S21" s="493">
        <f>ROUND(IF(I21="j",VLOOKUP(BJ21,uitlooptoeslag,2,FALSE))*IF('wgl tot'!H21&gt;1,1,'wgl tot'!H21),2)</f>
        <v>0</v>
      </c>
      <c r="T21" s="493">
        <f>ROUND(IF(OR('wgl tot'!F21="LA",'wgl tot'!F21="LB"),IF(J21="j",tabellen!$C$79*'wgl tot'!H21,0),0),2)</f>
        <v>0</v>
      </c>
      <c r="U21" s="493">
        <f>ROUND(IF(('wgl tot'!Q21+'wgl tot'!S21+'wgl tot'!T21)*BL21&lt;'wgl tot'!H21*tabellen!$D$92,'wgl tot'!H21*tabellen!$D$92,('wgl tot'!Q21+'wgl tot'!S21+'wgl tot'!T21)*BL21),2)</f>
        <v>0</v>
      </c>
      <c r="V21" s="493">
        <f>ROUND(+('wgl tot'!Q21+'wgl tot'!S21+'wgl tot'!T21)*BM21,2)</f>
        <v>0</v>
      </c>
      <c r="W21" s="493">
        <f>+tabellen!$C$87*'wgl tot'!H21</f>
        <v>0</v>
      </c>
      <c r="X21" s="493">
        <f>VLOOKUP(BN21,eindejaarsuitkering_OOP,2,TRUE)*'wgl tot'!H21/12</f>
        <v>0</v>
      </c>
      <c r="Y21" s="493">
        <f>ROUND(IF(BO21="j",tabellen!$D$101*IF('wgl tot'!H21&gt;1,1,'wgl tot'!H21),0),2)</f>
        <v>0</v>
      </c>
      <c r="Z21" s="511">
        <f t="shared" si="9"/>
        <v>0</v>
      </c>
      <c r="AA21" s="338"/>
      <c r="AB21" s="339"/>
      <c r="AC21" s="492">
        <f t="shared" si="10"/>
        <v>0</v>
      </c>
      <c r="AD21" s="493">
        <f>ROUND(IF(L21="j",VLOOKUP(K21,bindingstoelage,2,FALSE))*IF('wgl tot'!H21&gt;1,1,'wgl tot'!H21),2)</f>
        <v>0</v>
      </c>
      <c r="AE21" s="493">
        <f>ROUND('wgl tot'!H21*tabellen!$D$99,2)</f>
        <v>0</v>
      </c>
      <c r="AF21" s="492">
        <f t="shared" si="11"/>
        <v>0</v>
      </c>
      <c r="AG21" s="336"/>
      <c r="AH21" s="492">
        <f t="shared" si="12"/>
        <v>0</v>
      </c>
      <c r="AI21" s="494">
        <f>IF('wgl tot'!E21&lt;1950,0,+('wgl tot'!Q21+'wgl tot'!S21+'wgl tot'!T21)*tabellen!$C$89)*12</f>
        <v>0</v>
      </c>
      <c r="AJ21" s="336"/>
      <c r="AK21" s="493">
        <f t="shared" si="1"/>
        <v>0</v>
      </c>
      <c r="AL21" s="493">
        <f>IF(F21="",0,(IF('wgl tot'!AH21/'wgl tot'!H21&lt;tabellen!$E$53,0,('wgl tot'!AH21-tabellen!$E$53*'wgl tot'!H21)/12)*tabellen!$C$53))</f>
        <v>0</v>
      </c>
      <c r="AM21" s="493">
        <f>IF(F21="",0,(IF('wgl tot'!AH21/'wgl tot'!H21&lt;tabellen!$E$54,0,(+'wgl tot'!AH21-tabellen!$E$54*'wgl tot'!H21)/12)*tabellen!$C$54))</f>
        <v>0</v>
      </c>
      <c r="AN21" s="493">
        <f>'wgl tot'!AH21/12*tabellen!$C$55</f>
        <v>0</v>
      </c>
      <c r="AO21" s="493">
        <f>IF(H21=0,0,IF(BU21&gt;tabellen!$G$56/12,tabellen!$G$56/12,BU21)*(tabellen!$C$56+tabellen!$C$57))</f>
        <v>0</v>
      </c>
      <c r="AP21" s="493">
        <f>IF(F21="",0,('wgl tot'!BV21))</f>
        <v>0</v>
      </c>
      <c r="AQ21" s="495">
        <f>IF(F21="",0,(IF('wgl tot'!BU21&gt;tabellen!$G$59*'wgl tot'!H21/12,tabellen!$G$59*'wgl tot'!H21/12,'wgl tot'!BU21)*tabellen!$C$59))</f>
        <v>0</v>
      </c>
      <c r="AR21" s="495">
        <f>IF(F21="",0,('wgl tot'!BU21*IF(N21=1,tabellen!$C$60,IF(N21=2,tabellen!C74,IF(N21=3,tabellen!$C$62,tabellen!$C$63)))))</f>
        <v>0</v>
      </c>
      <c r="AS21" s="495">
        <f>IF(F21="",0,('wgl tot'!BU21*tabellen!$C$64))</f>
        <v>0</v>
      </c>
      <c r="AT21" s="495">
        <f>+'wgl tot'!AI21/12</f>
        <v>0</v>
      </c>
      <c r="AU21" s="530">
        <v>0</v>
      </c>
      <c r="AV21" s="291">
        <f t="shared" si="2"/>
        <v>0</v>
      </c>
      <c r="AW21" s="515">
        <f t="shared" si="3"/>
        <v>0</v>
      </c>
      <c r="AX21" s="515">
        <f t="shared" si="13"/>
        <v>0</v>
      </c>
      <c r="AY21" s="336"/>
      <c r="AZ21" s="501" t="str">
        <f>IF(AW21=0,"",(+'wgl tot'!AW21/'wgl tot'!Q21-1))</f>
        <v/>
      </c>
      <c r="BA21" s="336"/>
      <c r="BB21" s="319"/>
      <c r="BE21" s="482">
        <f ca="1">YEAR('wgl tot'!$BE$10)-YEAR('wgl tot'!E21)</f>
        <v>118</v>
      </c>
      <c r="BF21" s="482">
        <f ca="1">MONTH('wgl tot'!$BE$10)-MONTH('wgl tot'!E21)</f>
        <v>0</v>
      </c>
      <c r="BG21" s="482">
        <f ca="1">DAY('wgl tot'!$BE$10)-DAY('wgl tot'!E21)</f>
        <v>3</v>
      </c>
      <c r="BH21" s="474">
        <f>IF(AND('wgl tot'!F21&gt;0,'wgl tot'!F21&lt;16),0,100)</f>
        <v>100</v>
      </c>
      <c r="BI21" s="474" t="e">
        <f>VLOOKUP('wgl tot'!F21,salaristabellen,22,FALSE)</f>
        <v>#N/A</v>
      </c>
      <c r="BJ21" s="474">
        <f t="shared" si="4"/>
        <v>0</v>
      </c>
      <c r="BK21" s="480">
        <v>42583</v>
      </c>
      <c r="BL21" s="483">
        <f t="shared" si="16"/>
        <v>0.08</v>
      </c>
      <c r="BM21" s="484">
        <f>+tabellen!$D$93</f>
        <v>6.3E-2</v>
      </c>
      <c r="BN21" s="482">
        <f>IF('wgl tot'!BH21=100,0,'wgl tot'!F21)</f>
        <v>0</v>
      </c>
      <c r="BO21" s="484" t="str">
        <f>IF(OR('wgl tot'!F21="DA",'wgl tot'!F21="DB",'wgl tot'!F21="DBuit",'wgl tot'!F21="DC",'wgl tot'!F21="DCuit",MID('wgl tot'!F21,1,5)="meerh"),"j","n")</f>
        <v>n</v>
      </c>
      <c r="BP21" s="485"/>
      <c r="BQ21" s="486" t="e">
        <f>IF('wgl tot'!AH21/'wgl tot'!H21&lt;tabellen!$E$53,0,(+'wgl tot'!AH21-tabellen!$E$53*'wgl tot'!H21)/12*tabellen!$D$53)</f>
        <v>#DIV/0!</v>
      </c>
      <c r="BR21" s="486" t="e">
        <f>IF('wgl tot'!AH21/'wgl tot'!H21&lt;tabellen!$E$54,0,(+'wgl tot'!AH21-tabellen!$E$54*'wgl tot'!H21)/12*tabellen!$D$54)</f>
        <v>#DIV/0!</v>
      </c>
      <c r="BS21" s="486">
        <f>'wgl tot'!AH21/12*tabellen!$D$55</f>
        <v>0</v>
      </c>
      <c r="BT21" s="487" t="e">
        <f t="shared" si="5"/>
        <v>#DIV/0!</v>
      </c>
      <c r="BU21" s="488" t="e">
        <f>+('wgl tot'!AF21+'wgl tot'!AI21)/12-'wgl tot'!BT21</f>
        <v>#DIV/0!</v>
      </c>
      <c r="BV21" s="488" t="e">
        <f>ROUND(IF('wgl tot'!BU21&gt;tabellen!$H$58,tabellen!$H$58,'wgl tot'!BU21)*tabellen!$C$58,2)</f>
        <v>#DIV/0!</v>
      </c>
      <c r="BW21" s="488" t="e">
        <f>+'wgl tot'!BU21+'wgl tot'!BV21</f>
        <v>#DIV/0!</v>
      </c>
      <c r="BX21" s="489">
        <f t="shared" si="6"/>
        <v>1900</v>
      </c>
      <c r="BY21" s="489">
        <f t="shared" si="7"/>
        <v>1</v>
      </c>
      <c r="BZ21" s="482">
        <f t="shared" si="8"/>
        <v>0</v>
      </c>
      <c r="CA21" s="480">
        <f t="shared" si="14"/>
        <v>22462</v>
      </c>
      <c r="CB21" s="480">
        <f t="shared" ca="1" si="15"/>
        <v>43103.670106134261</v>
      </c>
      <c r="CC21" s="474"/>
      <c r="CD21" s="480"/>
      <c r="CE21" s="474"/>
      <c r="CF21" s="485"/>
      <c r="CG21" s="485"/>
      <c r="CH21" s="485"/>
      <c r="CI21" s="485"/>
      <c r="CJ21" s="485"/>
      <c r="CK21" s="485"/>
    </row>
    <row r="22" spans="2:89" ht="13.5" customHeight="1" x14ac:dyDescent="0.2">
      <c r="B22" s="318"/>
      <c r="C22" s="336"/>
      <c r="D22" s="286"/>
      <c r="E22" s="287"/>
      <c r="F22" s="374"/>
      <c r="G22" s="288"/>
      <c r="H22" s="289"/>
      <c r="I22" s="288"/>
      <c r="J22" s="288"/>
      <c r="K22" s="288"/>
      <c r="L22" s="288"/>
      <c r="M22" s="288"/>
      <c r="N22" s="290"/>
      <c r="O22" s="336"/>
      <c r="P22" s="499">
        <f>IF(F22="",0,(VLOOKUP('wgl tot'!F22,salaristabellen,'wgl tot'!G22+1,FALSE)))</f>
        <v>0</v>
      </c>
      <c r="Q22" s="518">
        <f t="shared" si="0"/>
        <v>0</v>
      </c>
      <c r="R22" s="336"/>
      <c r="S22" s="493">
        <f>ROUND(IF(I22="j",VLOOKUP(BJ22,uitlooptoeslag,2,FALSE))*IF('wgl tot'!H22&gt;1,1,'wgl tot'!H22),2)</f>
        <v>0</v>
      </c>
      <c r="T22" s="493">
        <f>ROUND(IF(OR('wgl tot'!F22="LA",'wgl tot'!F22="LB"),IF(J22="j",tabellen!$C$79*'wgl tot'!H22,0),0),2)</f>
        <v>0</v>
      </c>
      <c r="U22" s="493">
        <f>ROUND(IF(('wgl tot'!Q22+'wgl tot'!S22+'wgl tot'!T22)*BL22&lt;'wgl tot'!H22*tabellen!$D$92,'wgl tot'!H22*tabellen!$D$92,('wgl tot'!Q22+'wgl tot'!S22+'wgl tot'!T22)*BL22),2)</f>
        <v>0</v>
      </c>
      <c r="V22" s="493">
        <f>ROUND(+('wgl tot'!Q22+'wgl tot'!S22+'wgl tot'!T22)*BM22,2)</f>
        <v>0</v>
      </c>
      <c r="W22" s="493">
        <f>+tabellen!$C$87*'wgl tot'!H22</f>
        <v>0</v>
      </c>
      <c r="X22" s="493">
        <f>VLOOKUP(BN22,eindejaarsuitkering_OOP,2,TRUE)*'wgl tot'!H22/12</f>
        <v>0</v>
      </c>
      <c r="Y22" s="493">
        <f>ROUND(IF(BO22="j",tabellen!$D$101*IF('wgl tot'!H22&gt;1,1,'wgl tot'!H22),0),2)</f>
        <v>0</v>
      </c>
      <c r="Z22" s="511">
        <f t="shared" si="9"/>
        <v>0</v>
      </c>
      <c r="AA22" s="338"/>
      <c r="AB22" s="339"/>
      <c r="AC22" s="492">
        <f t="shared" si="10"/>
        <v>0</v>
      </c>
      <c r="AD22" s="493">
        <f>ROUND(IF(L22="j",VLOOKUP(K22,bindingstoelage,2,FALSE))*IF('wgl tot'!H22&gt;1,1,'wgl tot'!H22),2)</f>
        <v>0</v>
      </c>
      <c r="AE22" s="493">
        <f>ROUND('wgl tot'!H22*tabellen!$D$99,2)</f>
        <v>0</v>
      </c>
      <c r="AF22" s="492">
        <f t="shared" si="11"/>
        <v>0</v>
      </c>
      <c r="AG22" s="336"/>
      <c r="AH22" s="492">
        <f t="shared" si="12"/>
        <v>0</v>
      </c>
      <c r="AI22" s="494">
        <f>IF('wgl tot'!E22&lt;1950,0,+('wgl tot'!Q22+'wgl tot'!S22+'wgl tot'!T22)*tabellen!$C$89)*12</f>
        <v>0</v>
      </c>
      <c r="AJ22" s="336"/>
      <c r="AK22" s="493">
        <f t="shared" si="1"/>
        <v>0</v>
      </c>
      <c r="AL22" s="493">
        <f>IF(F22="",0,(IF('wgl tot'!AH22/'wgl tot'!H22&lt;tabellen!$E$53,0,('wgl tot'!AH22-tabellen!$E$53*'wgl tot'!H22)/12)*tabellen!$C$53))</f>
        <v>0</v>
      </c>
      <c r="AM22" s="493">
        <f>IF(F22="",0,(IF('wgl tot'!AH22/'wgl tot'!H22&lt;tabellen!$E$54,0,(+'wgl tot'!AH22-tabellen!$E$54*'wgl tot'!H22)/12)*tabellen!$C$54))</f>
        <v>0</v>
      </c>
      <c r="AN22" s="493">
        <f>'wgl tot'!AH22/12*tabellen!$C$55</f>
        <v>0</v>
      </c>
      <c r="AO22" s="493">
        <f>IF(H22=0,0,IF(BU22&gt;tabellen!$G$56/12,tabellen!$G$56/12,BU22)*(tabellen!$C$56+tabellen!$C$57))</f>
        <v>0</v>
      </c>
      <c r="AP22" s="493">
        <f>IF(F22="",0,('wgl tot'!BV22))</f>
        <v>0</v>
      </c>
      <c r="AQ22" s="495">
        <f>IF(F22="",0,(IF('wgl tot'!BU22&gt;tabellen!$G$59*'wgl tot'!H22/12,tabellen!$G$59*'wgl tot'!H22/12,'wgl tot'!BU22)*tabellen!$C$59))</f>
        <v>0</v>
      </c>
      <c r="AR22" s="495">
        <f>IF(F22="",0,('wgl tot'!BU22*IF(N22=1,tabellen!$C$60,IF(N22=2,tabellen!C75,IF(N22=3,tabellen!$C$62,tabellen!$C$63)))))</f>
        <v>0</v>
      </c>
      <c r="AS22" s="495">
        <f>IF(F22="",0,('wgl tot'!BU22*tabellen!$C$64))</f>
        <v>0</v>
      </c>
      <c r="AT22" s="495">
        <f>+'wgl tot'!AI22/12</f>
        <v>0</v>
      </c>
      <c r="AU22" s="530">
        <v>0</v>
      </c>
      <c r="AV22" s="291">
        <f t="shared" si="2"/>
        <v>0</v>
      </c>
      <c r="AW22" s="515">
        <f t="shared" si="3"/>
        <v>0</v>
      </c>
      <c r="AX22" s="515">
        <f t="shared" si="13"/>
        <v>0</v>
      </c>
      <c r="AY22" s="336"/>
      <c r="AZ22" s="501" t="str">
        <f>IF(AW22=0,"",(+'wgl tot'!AW22/'wgl tot'!Q22-1))</f>
        <v/>
      </c>
      <c r="BA22" s="336"/>
      <c r="BB22" s="319"/>
      <c r="BE22" s="482">
        <f ca="1">YEAR('wgl tot'!$BE$10)-YEAR('wgl tot'!E22)</f>
        <v>118</v>
      </c>
      <c r="BF22" s="482">
        <f ca="1">MONTH('wgl tot'!$BE$10)-MONTH('wgl tot'!E22)</f>
        <v>0</v>
      </c>
      <c r="BG22" s="482">
        <f ca="1">DAY('wgl tot'!$BE$10)-DAY('wgl tot'!E22)</f>
        <v>3</v>
      </c>
      <c r="BH22" s="474">
        <f>IF(AND('wgl tot'!F22&gt;0,'wgl tot'!F22&lt;16),0,100)</f>
        <v>100</v>
      </c>
      <c r="BI22" s="474" t="e">
        <f>VLOOKUP('wgl tot'!F22,salaristabellen,22,FALSE)</f>
        <v>#N/A</v>
      </c>
      <c r="BJ22" s="474">
        <f t="shared" si="4"/>
        <v>0</v>
      </c>
      <c r="BK22" s="480">
        <v>42583</v>
      </c>
      <c r="BL22" s="483">
        <f t="shared" si="16"/>
        <v>0.08</v>
      </c>
      <c r="BM22" s="484">
        <f>+tabellen!$D$93</f>
        <v>6.3E-2</v>
      </c>
      <c r="BN22" s="482">
        <f>IF('wgl tot'!BH22=100,0,'wgl tot'!F22)</f>
        <v>0</v>
      </c>
      <c r="BO22" s="484" t="str">
        <f>IF(OR('wgl tot'!F22="DA",'wgl tot'!F22="DB",'wgl tot'!F22="DBuit",'wgl tot'!F22="DC",'wgl tot'!F22="DCuit",MID('wgl tot'!F22,1,5)="meerh"),"j","n")</f>
        <v>n</v>
      </c>
      <c r="BP22" s="485"/>
      <c r="BQ22" s="486" t="e">
        <f>IF('wgl tot'!AH22/'wgl tot'!H22&lt;tabellen!$E$53,0,(+'wgl tot'!AH22-tabellen!$E$53*'wgl tot'!H22)/12*tabellen!$D$53)</f>
        <v>#DIV/0!</v>
      </c>
      <c r="BR22" s="486" t="e">
        <f>IF('wgl tot'!AH22/'wgl tot'!H22&lt;tabellen!$E$54,0,(+'wgl tot'!AH22-tabellen!$E$54*'wgl tot'!H22)/12*tabellen!$D$54)</f>
        <v>#DIV/0!</v>
      </c>
      <c r="BS22" s="486">
        <f>'wgl tot'!AH22/12*tabellen!$D$55</f>
        <v>0</v>
      </c>
      <c r="BT22" s="487" t="e">
        <f t="shared" si="5"/>
        <v>#DIV/0!</v>
      </c>
      <c r="BU22" s="488" t="e">
        <f>+('wgl tot'!AF22+'wgl tot'!AI22)/12-'wgl tot'!BT22</f>
        <v>#DIV/0!</v>
      </c>
      <c r="BV22" s="488" t="e">
        <f>ROUND(IF('wgl tot'!BU22&gt;tabellen!$H$58,tabellen!$H$58,'wgl tot'!BU22)*tabellen!$C$58,2)</f>
        <v>#DIV/0!</v>
      </c>
      <c r="BW22" s="488" t="e">
        <f>+'wgl tot'!BU22+'wgl tot'!BV22</f>
        <v>#DIV/0!</v>
      </c>
      <c r="BX22" s="489">
        <f t="shared" si="6"/>
        <v>1900</v>
      </c>
      <c r="BY22" s="489">
        <f t="shared" si="7"/>
        <v>1</v>
      </c>
      <c r="BZ22" s="482">
        <f t="shared" si="8"/>
        <v>0</v>
      </c>
      <c r="CA22" s="480">
        <f t="shared" si="14"/>
        <v>22462</v>
      </c>
      <c r="CB22" s="480">
        <f t="shared" ca="1" si="15"/>
        <v>43103.670106134261</v>
      </c>
      <c r="CC22" s="474"/>
      <c r="CD22" s="480"/>
      <c r="CE22" s="474"/>
      <c r="CF22" s="485"/>
      <c r="CG22" s="485"/>
      <c r="CH22" s="485"/>
      <c r="CI22" s="485"/>
      <c r="CJ22" s="485"/>
      <c r="CK22" s="485"/>
    </row>
    <row r="23" spans="2:89" ht="13.5" customHeight="1" x14ac:dyDescent="0.2">
      <c r="B23" s="318"/>
      <c r="C23" s="336"/>
      <c r="D23" s="286"/>
      <c r="E23" s="287"/>
      <c r="F23" s="374"/>
      <c r="G23" s="288"/>
      <c r="H23" s="289"/>
      <c r="I23" s="288"/>
      <c r="J23" s="288"/>
      <c r="K23" s="288"/>
      <c r="L23" s="288"/>
      <c r="M23" s="288"/>
      <c r="N23" s="290"/>
      <c r="O23" s="336"/>
      <c r="P23" s="499">
        <f>IF(F23="",0,(VLOOKUP('wgl tot'!F23,salaristabellen,'wgl tot'!G23+1,FALSE)))</f>
        <v>0</v>
      </c>
      <c r="Q23" s="518">
        <f t="shared" si="0"/>
        <v>0</v>
      </c>
      <c r="R23" s="336"/>
      <c r="S23" s="493">
        <f>ROUND(IF(I23="j",VLOOKUP(BJ23,uitlooptoeslag,2,FALSE))*IF('wgl tot'!H23&gt;1,1,'wgl tot'!H23),2)</f>
        <v>0</v>
      </c>
      <c r="T23" s="493">
        <f>ROUND(IF(OR('wgl tot'!F23="LA",'wgl tot'!F23="LB"),IF(J23="j",tabellen!$C$79*'wgl tot'!H23,0),0),2)</f>
        <v>0</v>
      </c>
      <c r="U23" s="493">
        <f>ROUND(IF(('wgl tot'!Q23+'wgl tot'!S23+'wgl tot'!T23)*BL23&lt;'wgl tot'!H23*tabellen!$D$92,'wgl tot'!H23*tabellen!$D$92,('wgl tot'!Q23+'wgl tot'!S23+'wgl tot'!T23)*BL23),2)</f>
        <v>0</v>
      </c>
      <c r="V23" s="493">
        <f>ROUND(+('wgl tot'!Q23+'wgl tot'!S23+'wgl tot'!T23)*BM23,2)</f>
        <v>0</v>
      </c>
      <c r="W23" s="493">
        <f>+tabellen!$C$87*'wgl tot'!H23</f>
        <v>0</v>
      </c>
      <c r="X23" s="493">
        <f>VLOOKUP(BN23,eindejaarsuitkering_OOP,2,TRUE)*'wgl tot'!H23/12</f>
        <v>0</v>
      </c>
      <c r="Y23" s="493">
        <f>ROUND(IF(BO23="j",tabellen!$D$101*IF('wgl tot'!H23&gt;1,1,'wgl tot'!H23),0),2)</f>
        <v>0</v>
      </c>
      <c r="Z23" s="511">
        <f t="shared" si="9"/>
        <v>0</v>
      </c>
      <c r="AA23" s="338"/>
      <c r="AB23" s="339"/>
      <c r="AC23" s="492">
        <f t="shared" si="10"/>
        <v>0</v>
      </c>
      <c r="AD23" s="493">
        <f>ROUND(IF(L23="j",VLOOKUP(K23,bindingstoelage,2,FALSE))*IF('wgl tot'!H23&gt;1,1,'wgl tot'!H23),2)</f>
        <v>0</v>
      </c>
      <c r="AE23" s="493">
        <f>ROUND('wgl tot'!H23*tabellen!$D$99,2)</f>
        <v>0</v>
      </c>
      <c r="AF23" s="492">
        <f t="shared" si="11"/>
        <v>0</v>
      </c>
      <c r="AG23" s="336"/>
      <c r="AH23" s="492">
        <f t="shared" si="12"/>
        <v>0</v>
      </c>
      <c r="AI23" s="494">
        <f>IF('wgl tot'!E23&lt;1950,0,+('wgl tot'!Q23+'wgl tot'!S23+'wgl tot'!T23)*tabellen!$C$89)*12</f>
        <v>0</v>
      </c>
      <c r="AJ23" s="336"/>
      <c r="AK23" s="493">
        <f t="shared" si="1"/>
        <v>0</v>
      </c>
      <c r="AL23" s="493">
        <f>IF(F23="",0,(IF('wgl tot'!AH23/'wgl tot'!H23&lt;tabellen!$E$53,0,('wgl tot'!AH23-tabellen!$E$53*'wgl tot'!H23)/12)*tabellen!$C$53))</f>
        <v>0</v>
      </c>
      <c r="AM23" s="493">
        <f>IF(F23="",0,(IF('wgl tot'!AH23/'wgl tot'!H23&lt;tabellen!$E$54,0,(+'wgl tot'!AH23-tabellen!$E$54*'wgl tot'!H23)/12)*tabellen!$C$54))</f>
        <v>0</v>
      </c>
      <c r="AN23" s="493">
        <f>'wgl tot'!AH23/12*tabellen!$C$55</f>
        <v>0</v>
      </c>
      <c r="AO23" s="493">
        <f>IF(H23=0,0,IF(BU23&gt;tabellen!$G$56/12,tabellen!$G$56/12,BU23)*(tabellen!$C$56+tabellen!$C$57))</f>
        <v>0</v>
      </c>
      <c r="AP23" s="493">
        <f>IF(F23="",0,('wgl tot'!BV23))</f>
        <v>0</v>
      </c>
      <c r="AQ23" s="495">
        <f>IF(F23="",0,(IF('wgl tot'!BU23&gt;tabellen!$G$59*'wgl tot'!H23/12,tabellen!$G$59*'wgl tot'!H23/12,'wgl tot'!BU23)*tabellen!$C$59))</f>
        <v>0</v>
      </c>
      <c r="AR23" s="495">
        <f>IF(F23="",0,('wgl tot'!BU23*IF(N23=1,tabellen!$C$60,IF(N23=2,tabellen!C76,IF(N23=3,tabellen!$C$62,tabellen!$C$63)))))</f>
        <v>0</v>
      </c>
      <c r="AS23" s="495">
        <f>IF(F23="",0,('wgl tot'!BU23*tabellen!$C$64))</f>
        <v>0</v>
      </c>
      <c r="AT23" s="495">
        <f>+'wgl tot'!AI23/12</f>
        <v>0</v>
      </c>
      <c r="AU23" s="530">
        <v>0</v>
      </c>
      <c r="AV23" s="291">
        <f t="shared" si="2"/>
        <v>0</v>
      </c>
      <c r="AW23" s="515">
        <f t="shared" si="3"/>
        <v>0</v>
      </c>
      <c r="AX23" s="515">
        <f t="shared" si="13"/>
        <v>0</v>
      </c>
      <c r="AY23" s="336"/>
      <c r="AZ23" s="501" t="str">
        <f>IF(AW23=0,"",(+'wgl tot'!AW23/'wgl tot'!Q23-1))</f>
        <v/>
      </c>
      <c r="BA23" s="336"/>
      <c r="BB23" s="319"/>
      <c r="BE23" s="482">
        <f ca="1">YEAR('wgl tot'!$BE$10)-YEAR('wgl tot'!E23)</f>
        <v>118</v>
      </c>
      <c r="BF23" s="482">
        <f ca="1">MONTH('wgl tot'!$BE$10)-MONTH('wgl tot'!E23)</f>
        <v>0</v>
      </c>
      <c r="BG23" s="482">
        <f ca="1">DAY('wgl tot'!$BE$10)-DAY('wgl tot'!E23)</f>
        <v>3</v>
      </c>
      <c r="BH23" s="474">
        <f>IF(AND('wgl tot'!F23&gt;0,'wgl tot'!F23&lt;16),0,100)</f>
        <v>100</v>
      </c>
      <c r="BI23" s="474" t="e">
        <f>VLOOKUP('wgl tot'!F23,salaristabellen,22,FALSE)</f>
        <v>#N/A</v>
      </c>
      <c r="BJ23" s="474">
        <f t="shared" si="4"/>
        <v>0</v>
      </c>
      <c r="BK23" s="480">
        <v>42583</v>
      </c>
      <c r="BL23" s="483">
        <f t="shared" si="16"/>
        <v>0.08</v>
      </c>
      <c r="BM23" s="484">
        <f>+tabellen!$D$93</f>
        <v>6.3E-2</v>
      </c>
      <c r="BN23" s="482">
        <f>IF('wgl tot'!BH23=100,0,'wgl tot'!F23)</f>
        <v>0</v>
      </c>
      <c r="BO23" s="484" t="str">
        <f>IF(OR('wgl tot'!F23="DA",'wgl tot'!F23="DB",'wgl tot'!F23="DBuit",'wgl tot'!F23="DC",'wgl tot'!F23="DCuit",MID('wgl tot'!F23,1,5)="meerh"),"j","n")</f>
        <v>n</v>
      </c>
      <c r="BP23" s="485"/>
      <c r="BQ23" s="486" t="e">
        <f>IF('wgl tot'!AH23/'wgl tot'!H23&lt;tabellen!$E$53,0,(+'wgl tot'!AH23-tabellen!$E$53*'wgl tot'!H23)/12*tabellen!$D$53)</f>
        <v>#DIV/0!</v>
      </c>
      <c r="BR23" s="486" t="e">
        <f>IF('wgl tot'!AH23/'wgl tot'!H23&lt;tabellen!$E$54,0,(+'wgl tot'!AH23-tabellen!$E$54*'wgl tot'!H23)/12*tabellen!$D$54)</f>
        <v>#DIV/0!</v>
      </c>
      <c r="BS23" s="486">
        <f>'wgl tot'!AH23/12*tabellen!$D$55</f>
        <v>0</v>
      </c>
      <c r="BT23" s="487" t="e">
        <f t="shared" si="5"/>
        <v>#DIV/0!</v>
      </c>
      <c r="BU23" s="488" t="e">
        <f>+('wgl tot'!AF23+'wgl tot'!AI23)/12-'wgl tot'!BT23</f>
        <v>#DIV/0!</v>
      </c>
      <c r="BV23" s="488" t="e">
        <f>ROUND(IF('wgl tot'!BU23&gt;tabellen!$H$58,tabellen!$H$58,'wgl tot'!BU23)*tabellen!$C$58,2)</f>
        <v>#DIV/0!</v>
      </c>
      <c r="BW23" s="488" t="e">
        <f>+'wgl tot'!BU23+'wgl tot'!BV23</f>
        <v>#DIV/0!</v>
      </c>
      <c r="BX23" s="489">
        <f t="shared" si="6"/>
        <v>1900</v>
      </c>
      <c r="BY23" s="489">
        <f t="shared" si="7"/>
        <v>1</v>
      </c>
      <c r="BZ23" s="482">
        <f t="shared" si="8"/>
        <v>0</v>
      </c>
      <c r="CA23" s="480">
        <f t="shared" si="14"/>
        <v>22462</v>
      </c>
      <c r="CB23" s="480">
        <f t="shared" ca="1" si="15"/>
        <v>43103.670106134261</v>
      </c>
      <c r="CC23" s="474"/>
      <c r="CD23" s="480"/>
      <c r="CE23" s="474"/>
      <c r="CF23" s="485"/>
      <c r="CG23" s="485"/>
      <c r="CH23" s="485"/>
      <c r="CI23" s="485"/>
      <c r="CJ23" s="485"/>
      <c r="CK23" s="485"/>
    </row>
    <row r="24" spans="2:89" ht="13.5" customHeight="1" x14ac:dyDescent="0.2">
      <c r="B24" s="318"/>
      <c r="C24" s="336"/>
      <c r="D24" s="286"/>
      <c r="E24" s="287"/>
      <c r="F24" s="374"/>
      <c r="G24" s="288"/>
      <c r="H24" s="289"/>
      <c r="I24" s="288"/>
      <c r="J24" s="288"/>
      <c r="K24" s="288"/>
      <c r="L24" s="288"/>
      <c r="M24" s="288"/>
      <c r="N24" s="290"/>
      <c r="O24" s="336"/>
      <c r="P24" s="499">
        <f>IF(F24="",0,(VLOOKUP('wgl tot'!F24,salaristabellen,'wgl tot'!G24+1,FALSE)))</f>
        <v>0</v>
      </c>
      <c r="Q24" s="518">
        <f t="shared" si="0"/>
        <v>0</v>
      </c>
      <c r="R24" s="336"/>
      <c r="S24" s="493">
        <f>ROUND(IF(I24="j",VLOOKUP(BJ24,uitlooptoeslag,2,FALSE))*IF('wgl tot'!H24&gt;1,1,'wgl tot'!H24),2)</f>
        <v>0</v>
      </c>
      <c r="T24" s="493">
        <f>ROUND(IF(OR('wgl tot'!F24="LA",'wgl tot'!F24="LB"),IF(J24="j",tabellen!$C$79*'wgl tot'!H24,0),0),2)</f>
        <v>0</v>
      </c>
      <c r="U24" s="493">
        <f>ROUND(IF(('wgl tot'!Q24+'wgl tot'!S24+'wgl tot'!T24)*BL24&lt;'wgl tot'!H24*tabellen!$D$92,'wgl tot'!H24*tabellen!$D$92,('wgl tot'!Q24+'wgl tot'!S24+'wgl tot'!T24)*BL24),2)</f>
        <v>0</v>
      </c>
      <c r="V24" s="493">
        <f>ROUND(+('wgl tot'!Q24+'wgl tot'!S24+'wgl tot'!T24)*BM24,2)</f>
        <v>0</v>
      </c>
      <c r="W24" s="493">
        <f>+tabellen!$C$87*'wgl tot'!H24</f>
        <v>0</v>
      </c>
      <c r="X24" s="493">
        <f>VLOOKUP(BN24,eindejaarsuitkering_OOP,2,TRUE)*'wgl tot'!H24/12</f>
        <v>0</v>
      </c>
      <c r="Y24" s="493">
        <f>ROUND(IF(BO24="j",tabellen!$D$101*IF('wgl tot'!H24&gt;1,1,'wgl tot'!H24),0),2)</f>
        <v>0</v>
      </c>
      <c r="Z24" s="511">
        <f t="shared" si="9"/>
        <v>0</v>
      </c>
      <c r="AA24" s="338"/>
      <c r="AB24" s="339"/>
      <c r="AC24" s="492">
        <f t="shared" si="10"/>
        <v>0</v>
      </c>
      <c r="AD24" s="493">
        <f>ROUND(IF(L24="j",VLOOKUP(K24,bindingstoelage,2,FALSE))*IF('wgl tot'!H24&gt;1,1,'wgl tot'!H24),2)</f>
        <v>0</v>
      </c>
      <c r="AE24" s="493">
        <f>ROUND('wgl tot'!H24*tabellen!$D$99,2)</f>
        <v>0</v>
      </c>
      <c r="AF24" s="492">
        <f t="shared" si="11"/>
        <v>0</v>
      </c>
      <c r="AG24" s="336"/>
      <c r="AH24" s="492">
        <f t="shared" si="12"/>
        <v>0</v>
      </c>
      <c r="AI24" s="494">
        <f>IF('wgl tot'!E24&lt;1950,0,+('wgl tot'!Q24+'wgl tot'!S24+'wgl tot'!T24)*tabellen!$C$89)*12</f>
        <v>0</v>
      </c>
      <c r="AJ24" s="336"/>
      <c r="AK24" s="493">
        <f t="shared" si="1"/>
        <v>0</v>
      </c>
      <c r="AL24" s="493">
        <f>IF(F24="",0,(IF('wgl tot'!AH24/'wgl tot'!H24&lt;tabellen!$E$53,0,('wgl tot'!AH24-tabellen!$E$53*'wgl tot'!H24)/12)*tabellen!$C$53))</f>
        <v>0</v>
      </c>
      <c r="AM24" s="493">
        <f>IF(F24="",0,(IF('wgl tot'!AH24/'wgl tot'!H24&lt;tabellen!$E$54,0,(+'wgl tot'!AH24-tabellen!$E$54*'wgl tot'!H24)/12)*tabellen!$C$54))</f>
        <v>0</v>
      </c>
      <c r="AN24" s="493">
        <f>'wgl tot'!AH24/12*tabellen!$C$55</f>
        <v>0</v>
      </c>
      <c r="AO24" s="493">
        <f>IF(H24=0,0,IF(BU24&gt;tabellen!$G$56/12,tabellen!$G$56/12,BU24)*(tabellen!$C$56+tabellen!$C$57))</f>
        <v>0</v>
      </c>
      <c r="AP24" s="493">
        <f>IF(F24="",0,('wgl tot'!BV24))</f>
        <v>0</v>
      </c>
      <c r="AQ24" s="495">
        <f>IF(F24="",0,(IF('wgl tot'!BU24&gt;tabellen!$G$59*'wgl tot'!H24/12,tabellen!$G$59*'wgl tot'!H24/12,'wgl tot'!BU24)*tabellen!$C$59))</f>
        <v>0</v>
      </c>
      <c r="AR24" s="495">
        <f>IF(F24="",0,('wgl tot'!BU24*IF(N24=1,tabellen!$C$60,IF(N24=2,tabellen!C77,IF(N24=3,tabellen!$C$62,tabellen!$C$63)))))</f>
        <v>0</v>
      </c>
      <c r="AS24" s="495">
        <f>IF(F24="",0,('wgl tot'!BU24*tabellen!$C$64))</f>
        <v>0</v>
      </c>
      <c r="AT24" s="495">
        <f>+'wgl tot'!AI24/12</f>
        <v>0</v>
      </c>
      <c r="AU24" s="530">
        <v>0</v>
      </c>
      <c r="AV24" s="291">
        <f t="shared" si="2"/>
        <v>0</v>
      </c>
      <c r="AW24" s="515">
        <f t="shared" si="3"/>
        <v>0</v>
      </c>
      <c r="AX24" s="515">
        <f t="shared" si="13"/>
        <v>0</v>
      </c>
      <c r="AY24" s="336"/>
      <c r="AZ24" s="501" t="str">
        <f>IF(AW24=0,"",(+'wgl tot'!AW24/'wgl tot'!Q24-1))</f>
        <v/>
      </c>
      <c r="BA24" s="336"/>
      <c r="BB24" s="319"/>
      <c r="BE24" s="482">
        <f ca="1">YEAR('wgl tot'!$BE$10)-YEAR('wgl tot'!E24)</f>
        <v>118</v>
      </c>
      <c r="BF24" s="482">
        <f ca="1">MONTH('wgl tot'!$BE$10)-MONTH('wgl tot'!E24)</f>
        <v>0</v>
      </c>
      <c r="BG24" s="482">
        <f ca="1">DAY('wgl tot'!$BE$10)-DAY('wgl tot'!E24)</f>
        <v>3</v>
      </c>
      <c r="BH24" s="474">
        <f>IF(AND('wgl tot'!F24&gt;0,'wgl tot'!F24&lt;16),0,100)</f>
        <v>100</v>
      </c>
      <c r="BI24" s="474" t="e">
        <f>VLOOKUP('wgl tot'!F24,salaristabellen,22,FALSE)</f>
        <v>#N/A</v>
      </c>
      <c r="BJ24" s="474">
        <f t="shared" si="4"/>
        <v>0</v>
      </c>
      <c r="BK24" s="480">
        <v>42583</v>
      </c>
      <c r="BL24" s="483">
        <f t="shared" si="16"/>
        <v>0.08</v>
      </c>
      <c r="BM24" s="484">
        <f>+tabellen!$D$93</f>
        <v>6.3E-2</v>
      </c>
      <c r="BN24" s="482">
        <f>IF('wgl tot'!BH24=100,0,'wgl tot'!F24)</f>
        <v>0</v>
      </c>
      <c r="BO24" s="484" t="str">
        <f>IF(OR('wgl tot'!F24="DA",'wgl tot'!F24="DB",'wgl tot'!F24="DBuit",'wgl tot'!F24="DC",'wgl tot'!F24="DCuit",MID('wgl tot'!F24,1,5)="meerh"),"j","n")</f>
        <v>n</v>
      </c>
      <c r="BP24" s="485"/>
      <c r="BQ24" s="486" t="e">
        <f>IF('wgl tot'!AH24/'wgl tot'!H24&lt;tabellen!$E$53,0,(+'wgl tot'!AH24-tabellen!$E$53*'wgl tot'!H24)/12*tabellen!$D$53)</f>
        <v>#DIV/0!</v>
      </c>
      <c r="BR24" s="486" t="e">
        <f>IF('wgl tot'!AH24/'wgl tot'!H24&lt;tabellen!$E$54,0,(+'wgl tot'!AH24-tabellen!$E$54*'wgl tot'!H24)/12*tabellen!$D$54)</f>
        <v>#DIV/0!</v>
      </c>
      <c r="BS24" s="486">
        <f>'wgl tot'!AH24/12*tabellen!$D$55</f>
        <v>0</v>
      </c>
      <c r="BT24" s="487" t="e">
        <f t="shared" si="5"/>
        <v>#DIV/0!</v>
      </c>
      <c r="BU24" s="488" t="e">
        <f>+('wgl tot'!AF24+'wgl tot'!AI24)/12-'wgl tot'!BT24</f>
        <v>#DIV/0!</v>
      </c>
      <c r="BV24" s="488" t="e">
        <f>ROUND(IF('wgl tot'!BU24&gt;tabellen!$H$58,tabellen!$H$58,'wgl tot'!BU24)*tabellen!$C$58,2)</f>
        <v>#DIV/0!</v>
      </c>
      <c r="BW24" s="488" t="e">
        <f>+'wgl tot'!BU24+'wgl tot'!BV24</f>
        <v>#DIV/0!</v>
      </c>
      <c r="BX24" s="489">
        <f t="shared" si="6"/>
        <v>1900</v>
      </c>
      <c r="BY24" s="489">
        <f t="shared" si="7"/>
        <v>1</v>
      </c>
      <c r="BZ24" s="482">
        <f t="shared" si="8"/>
        <v>0</v>
      </c>
      <c r="CA24" s="480">
        <f t="shared" si="14"/>
        <v>22462</v>
      </c>
      <c r="CB24" s="480">
        <f t="shared" ca="1" si="15"/>
        <v>43103.670106134261</v>
      </c>
      <c r="CC24" s="474"/>
      <c r="CD24" s="480"/>
      <c r="CE24" s="474"/>
      <c r="CF24" s="485"/>
      <c r="CG24" s="485"/>
      <c r="CH24" s="485"/>
      <c r="CI24" s="485"/>
      <c r="CJ24" s="485"/>
      <c r="CK24" s="485"/>
    </row>
    <row r="25" spans="2:89" ht="13.5" customHeight="1" x14ac:dyDescent="0.2">
      <c r="B25" s="318"/>
      <c r="C25" s="336"/>
      <c r="D25" s="286"/>
      <c r="E25" s="287"/>
      <c r="F25" s="374"/>
      <c r="G25" s="288"/>
      <c r="H25" s="289"/>
      <c r="I25" s="288"/>
      <c r="J25" s="288"/>
      <c r="K25" s="288"/>
      <c r="L25" s="288"/>
      <c r="M25" s="288"/>
      <c r="N25" s="290"/>
      <c r="O25" s="336"/>
      <c r="P25" s="499">
        <f>IF(F25="",0,(VLOOKUP('wgl tot'!F25,salaristabellen,'wgl tot'!G25+1,FALSE)))</f>
        <v>0</v>
      </c>
      <c r="Q25" s="518">
        <f t="shared" si="0"/>
        <v>0</v>
      </c>
      <c r="R25" s="336"/>
      <c r="S25" s="493">
        <f>ROUND(IF(I25="j",VLOOKUP(BJ25,uitlooptoeslag,2,FALSE))*IF('wgl tot'!H25&gt;1,1,'wgl tot'!H25),2)</f>
        <v>0</v>
      </c>
      <c r="T25" s="493">
        <f>ROUND(IF(OR('wgl tot'!F25="LA",'wgl tot'!F25="LB"),IF(J25="j",tabellen!$C$79*'wgl tot'!H25,0),0),2)</f>
        <v>0</v>
      </c>
      <c r="U25" s="493">
        <f>ROUND(IF(('wgl tot'!Q25+'wgl tot'!S25+'wgl tot'!T25)*BL25&lt;'wgl tot'!H25*tabellen!$D$92,'wgl tot'!H25*tabellen!$D$92,('wgl tot'!Q25+'wgl tot'!S25+'wgl tot'!T25)*BL25),2)</f>
        <v>0</v>
      </c>
      <c r="V25" s="493">
        <f>ROUND(+('wgl tot'!Q25+'wgl tot'!S25+'wgl tot'!T25)*BM25,2)</f>
        <v>0</v>
      </c>
      <c r="W25" s="493">
        <f>+tabellen!$C$87*'wgl tot'!H25</f>
        <v>0</v>
      </c>
      <c r="X25" s="493">
        <f>VLOOKUP(BN25,eindejaarsuitkering_OOP,2,TRUE)*'wgl tot'!H25/12</f>
        <v>0</v>
      </c>
      <c r="Y25" s="493">
        <f>ROUND(IF(BO25="j",tabellen!$D$101*IF('wgl tot'!H25&gt;1,1,'wgl tot'!H25),0),2)</f>
        <v>0</v>
      </c>
      <c r="Z25" s="511">
        <f t="shared" si="9"/>
        <v>0</v>
      </c>
      <c r="AA25" s="338"/>
      <c r="AB25" s="339"/>
      <c r="AC25" s="492">
        <f t="shared" si="10"/>
        <v>0</v>
      </c>
      <c r="AD25" s="493">
        <f>ROUND(IF(L25="j",VLOOKUP(K25,bindingstoelage,2,FALSE))*IF('wgl tot'!H25&gt;1,1,'wgl tot'!H25),2)</f>
        <v>0</v>
      </c>
      <c r="AE25" s="493">
        <f>ROUND('wgl tot'!H25*tabellen!$D$99,2)</f>
        <v>0</v>
      </c>
      <c r="AF25" s="492">
        <f t="shared" si="11"/>
        <v>0</v>
      </c>
      <c r="AG25" s="336"/>
      <c r="AH25" s="492">
        <f t="shared" si="12"/>
        <v>0</v>
      </c>
      <c r="AI25" s="494">
        <f>IF('wgl tot'!E25&lt;1950,0,+('wgl tot'!Q25+'wgl tot'!S25+'wgl tot'!T25)*tabellen!$C$89)*12</f>
        <v>0</v>
      </c>
      <c r="AJ25" s="336"/>
      <c r="AK25" s="493">
        <f t="shared" si="1"/>
        <v>0</v>
      </c>
      <c r="AL25" s="493">
        <f>IF(F25="",0,(IF('wgl tot'!AH25/'wgl tot'!H25&lt;tabellen!$E$53,0,('wgl tot'!AH25-tabellen!$E$53*'wgl tot'!H25)/12)*tabellen!$C$53))</f>
        <v>0</v>
      </c>
      <c r="AM25" s="493">
        <f>IF(F25="",0,(IF('wgl tot'!AH25/'wgl tot'!H25&lt;tabellen!$E$54,0,(+'wgl tot'!AH25-tabellen!$E$54*'wgl tot'!H25)/12)*tabellen!$C$54))</f>
        <v>0</v>
      </c>
      <c r="AN25" s="493">
        <f>'wgl tot'!AH25/12*tabellen!$C$55</f>
        <v>0</v>
      </c>
      <c r="AO25" s="493">
        <f>IF(H25=0,0,IF(BU25&gt;tabellen!$G$56/12,tabellen!$G$56/12,BU25)*(tabellen!$C$56+tabellen!$C$57))</f>
        <v>0</v>
      </c>
      <c r="AP25" s="493">
        <f>IF(F25="",0,('wgl tot'!BV25))</f>
        <v>0</v>
      </c>
      <c r="AQ25" s="495">
        <f>IF(F25="",0,(IF('wgl tot'!BU25&gt;tabellen!$G$59*'wgl tot'!H25/12,tabellen!$G$59*'wgl tot'!H25/12,'wgl tot'!BU25)*tabellen!$C$59))</f>
        <v>0</v>
      </c>
      <c r="AR25" s="495">
        <f>IF(F25="",0,('wgl tot'!BU25*IF(N25=1,tabellen!$C$60,IF(N25=2,tabellen!C78,IF(N25=3,tabellen!$C$62,tabellen!$C$63)))))</f>
        <v>0</v>
      </c>
      <c r="AS25" s="495">
        <f>IF(F25="",0,('wgl tot'!BU25*tabellen!$C$64))</f>
        <v>0</v>
      </c>
      <c r="AT25" s="495">
        <f>+'wgl tot'!AI25/12</f>
        <v>0</v>
      </c>
      <c r="AU25" s="530">
        <v>0</v>
      </c>
      <c r="AV25" s="291">
        <f t="shared" si="2"/>
        <v>0</v>
      </c>
      <c r="AW25" s="515">
        <f t="shared" si="3"/>
        <v>0</v>
      </c>
      <c r="AX25" s="515">
        <f t="shared" si="13"/>
        <v>0</v>
      </c>
      <c r="AY25" s="336"/>
      <c r="AZ25" s="501" t="str">
        <f>IF(AW25=0,"",(+'wgl tot'!AW25/'wgl tot'!Q25-1))</f>
        <v/>
      </c>
      <c r="BA25" s="336"/>
      <c r="BB25" s="319"/>
      <c r="BE25" s="482">
        <f ca="1">YEAR('wgl tot'!$BE$10)-YEAR('wgl tot'!E25)</f>
        <v>118</v>
      </c>
      <c r="BF25" s="482">
        <f ca="1">MONTH('wgl tot'!$BE$10)-MONTH('wgl tot'!E25)</f>
        <v>0</v>
      </c>
      <c r="BG25" s="482">
        <f ca="1">DAY('wgl tot'!$BE$10)-DAY('wgl tot'!E25)</f>
        <v>3</v>
      </c>
      <c r="BH25" s="474">
        <f>IF(AND('wgl tot'!F25&gt;0,'wgl tot'!F25&lt;16),0,100)</f>
        <v>100</v>
      </c>
      <c r="BI25" s="474" t="e">
        <f>VLOOKUP('wgl tot'!F25,salaristabellen,22,FALSE)</f>
        <v>#N/A</v>
      </c>
      <c r="BJ25" s="474">
        <f t="shared" si="4"/>
        <v>0</v>
      </c>
      <c r="BK25" s="480">
        <v>42583</v>
      </c>
      <c r="BL25" s="483">
        <f t="shared" si="16"/>
        <v>0.08</v>
      </c>
      <c r="BM25" s="484">
        <f>+tabellen!$D$93</f>
        <v>6.3E-2</v>
      </c>
      <c r="BN25" s="482">
        <f>IF('wgl tot'!BH25=100,0,'wgl tot'!F25)</f>
        <v>0</v>
      </c>
      <c r="BO25" s="484" t="str">
        <f>IF(OR('wgl tot'!F25="DA",'wgl tot'!F25="DB",'wgl tot'!F25="DBuit",'wgl tot'!F25="DC",'wgl tot'!F25="DCuit",MID('wgl tot'!F25,1,5)="meerh"),"j","n")</f>
        <v>n</v>
      </c>
      <c r="BP25" s="485"/>
      <c r="BQ25" s="486" t="e">
        <f>IF('wgl tot'!AH25/'wgl tot'!H25&lt;tabellen!$E$53,0,(+'wgl tot'!AH25-tabellen!$E$53*'wgl tot'!H25)/12*tabellen!$D$53)</f>
        <v>#DIV/0!</v>
      </c>
      <c r="BR25" s="486" t="e">
        <f>IF('wgl tot'!AH25/'wgl tot'!H25&lt;tabellen!$E$54,0,(+'wgl tot'!AH25-tabellen!$E$54*'wgl tot'!H25)/12*tabellen!$D$54)</f>
        <v>#DIV/0!</v>
      </c>
      <c r="BS25" s="486">
        <f>'wgl tot'!AH25/12*tabellen!$D$55</f>
        <v>0</v>
      </c>
      <c r="BT25" s="487" t="e">
        <f t="shared" si="5"/>
        <v>#DIV/0!</v>
      </c>
      <c r="BU25" s="488" t="e">
        <f>+('wgl tot'!AF25+'wgl tot'!AI25)/12-'wgl tot'!BT25</f>
        <v>#DIV/0!</v>
      </c>
      <c r="BV25" s="488" t="e">
        <f>ROUND(IF('wgl tot'!BU25&gt;tabellen!$H$58,tabellen!$H$58,'wgl tot'!BU25)*tabellen!$C$58,2)</f>
        <v>#DIV/0!</v>
      </c>
      <c r="BW25" s="488" t="e">
        <f>+'wgl tot'!BU25+'wgl tot'!BV25</f>
        <v>#DIV/0!</v>
      </c>
      <c r="BX25" s="489">
        <f t="shared" si="6"/>
        <v>1900</v>
      </c>
      <c r="BY25" s="489">
        <f t="shared" si="7"/>
        <v>1</v>
      </c>
      <c r="BZ25" s="482">
        <f t="shared" si="8"/>
        <v>0</v>
      </c>
      <c r="CA25" s="480">
        <f t="shared" si="14"/>
        <v>22462</v>
      </c>
      <c r="CB25" s="480">
        <f t="shared" ca="1" si="15"/>
        <v>43103.670106134261</v>
      </c>
      <c r="CC25" s="474"/>
      <c r="CD25" s="480"/>
      <c r="CE25" s="474"/>
      <c r="CF25" s="485"/>
      <c r="CG25" s="485"/>
      <c r="CH25" s="485"/>
      <c r="CI25" s="485"/>
      <c r="CJ25" s="485"/>
      <c r="CK25" s="485"/>
    </row>
    <row r="26" spans="2:89" ht="13.5" customHeight="1" x14ac:dyDescent="0.2">
      <c r="B26" s="318"/>
      <c r="C26" s="336"/>
      <c r="D26" s="286"/>
      <c r="E26" s="287"/>
      <c r="F26" s="374"/>
      <c r="G26" s="288"/>
      <c r="H26" s="289"/>
      <c r="I26" s="288"/>
      <c r="J26" s="288"/>
      <c r="K26" s="288"/>
      <c r="L26" s="288"/>
      <c r="M26" s="288"/>
      <c r="N26" s="290"/>
      <c r="O26" s="336"/>
      <c r="P26" s="499">
        <f>IF(F26="",0,(VLOOKUP('wgl tot'!F26,salaristabellen,'wgl tot'!G26+1,FALSE)))</f>
        <v>0</v>
      </c>
      <c r="Q26" s="518">
        <f t="shared" si="0"/>
        <v>0</v>
      </c>
      <c r="R26" s="336"/>
      <c r="S26" s="493">
        <f>ROUND(IF(I26="j",VLOOKUP(BJ26,uitlooptoeslag,2,FALSE))*IF('wgl tot'!H26&gt;1,1,'wgl tot'!H26),2)</f>
        <v>0</v>
      </c>
      <c r="T26" s="493">
        <f>ROUND(IF(OR('wgl tot'!F26="LA",'wgl tot'!F26="LB"),IF(J26="j",tabellen!$C$79*'wgl tot'!H26,0),0),2)</f>
        <v>0</v>
      </c>
      <c r="U26" s="493">
        <f>ROUND(IF(('wgl tot'!Q26+'wgl tot'!S26+'wgl tot'!T26)*BL26&lt;'wgl tot'!H26*tabellen!$D$92,'wgl tot'!H26*tabellen!$D$92,('wgl tot'!Q26+'wgl tot'!S26+'wgl tot'!T26)*BL26),2)</f>
        <v>0</v>
      </c>
      <c r="V26" s="493">
        <f>ROUND(+('wgl tot'!Q26+'wgl tot'!S26+'wgl tot'!T26)*BM26,2)</f>
        <v>0</v>
      </c>
      <c r="W26" s="493">
        <f>+tabellen!$C$87*'wgl tot'!H26</f>
        <v>0</v>
      </c>
      <c r="X26" s="493">
        <f>VLOOKUP(BN26,eindejaarsuitkering_OOP,2,TRUE)*'wgl tot'!H26/12</f>
        <v>0</v>
      </c>
      <c r="Y26" s="493">
        <f>ROUND(IF(BO26="j",tabellen!$D$101*IF('wgl tot'!H26&gt;1,1,'wgl tot'!H26),0),2)</f>
        <v>0</v>
      </c>
      <c r="Z26" s="511">
        <f t="shared" si="9"/>
        <v>0</v>
      </c>
      <c r="AA26" s="338"/>
      <c r="AB26" s="339"/>
      <c r="AC26" s="492">
        <f t="shared" si="10"/>
        <v>0</v>
      </c>
      <c r="AD26" s="493">
        <f>ROUND(IF(L26="j",VLOOKUP(K26,bindingstoelage,2,FALSE))*IF('wgl tot'!H26&gt;1,1,'wgl tot'!H26),2)</f>
        <v>0</v>
      </c>
      <c r="AE26" s="493">
        <f>ROUND('wgl tot'!H26*tabellen!$D$99,2)</f>
        <v>0</v>
      </c>
      <c r="AF26" s="492">
        <f t="shared" si="11"/>
        <v>0</v>
      </c>
      <c r="AG26" s="336"/>
      <c r="AH26" s="492">
        <f t="shared" si="12"/>
        <v>0</v>
      </c>
      <c r="AI26" s="494">
        <f>IF('wgl tot'!E26&lt;1950,0,+('wgl tot'!Q26+'wgl tot'!S26+'wgl tot'!T26)*tabellen!$C$89)*12</f>
        <v>0</v>
      </c>
      <c r="AJ26" s="336"/>
      <c r="AK26" s="493">
        <f t="shared" si="1"/>
        <v>0</v>
      </c>
      <c r="AL26" s="493">
        <f>IF(F26="",0,(IF('wgl tot'!AH26/'wgl tot'!H26&lt;tabellen!$E$53,0,('wgl tot'!AH26-tabellen!$E$53*'wgl tot'!H26)/12)*tabellen!$C$53))</f>
        <v>0</v>
      </c>
      <c r="AM26" s="493">
        <f>IF(F26="",0,(IF('wgl tot'!AH26/'wgl tot'!H26&lt;tabellen!$E$54,0,(+'wgl tot'!AH26-tabellen!$E$54*'wgl tot'!H26)/12)*tabellen!$C$54))</f>
        <v>0</v>
      </c>
      <c r="AN26" s="493">
        <f>'wgl tot'!AH26/12*tabellen!$C$55</f>
        <v>0</v>
      </c>
      <c r="AO26" s="493">
        <f>IF(H26=0,0,IF(BU26&gt;tabellen!$G$56/12,tabellen!$G$56/12,BU26)*(tabellen!$C$56+tabellen!$C$57))</f>
        <v>0</v>
      </c>
      <c r="AP26" s="493">
        <f>IF(F26="",0,('wgl tot'!BV26))</f>
        <v>0</v>
      </c>
      <c r="AQ26" s="495">
        <f>IF(F26="",0,(IF('wgl tot'!BU26&gt;tabellen!$G$59*'wgl tot'!H26/12,tabellen!$G$59*'wgl tot'!H26/12,'wgl tot'!BU26)*tabellen!$C$59))</f>
        <v>0</v>
      </c>
      <c r="AR26" s="495">
        <f>IF(F26="",0,('wgl tot'!BU26*IF(N26=1,tabellen!$C$60,IF(N26=2,tabellen!C79,IF(N26=3,tabellen!$C$62,tabellen!$C$63)))))</f>
        <v>0</v>
      </c>
      <c r="AS26" s="495">
        <f>IF(F26="",0,('wgl tot'!BU26*tabellen!$C$64))</f>
        <v>0</v>
      </c>
      <c r="AT26" s="495">
        <f>+'wgl tot'!AI26/12</f>
        <v>0</v>
      </c>
      <c r="AU26" s="530">
        <v>0</v>
      </c>
      <c r="AV26" s="291">
        <f t="shared" si="2"/>
        <v>0</v>
      </c>
      <c r="AW26" s="515">
        <f t="shared" si="3"/>
        <v>0</v>
      </c>
      <c r="AX26" s="515">
        <f t="shared" si="13"/>
        <v>0</v>
      </c>
      <c r="AY26" s="336"/>
      <c r="AZ26" s="501" t="str">
        <f>IF(AW26=0,"",(+'wgl tot'!AW26/'wgl tot'!Q26-1))</f>
        <v/>
      </c>
      <c r="BA26" s="336"/>
      <c r="BB26" s="319"/>
      <c r="BE26" s="482">
        <f ca="1">YEAR('wgl tot'!$BE$10)-YEAR('wgl tot'!E26)</f>
        <v>118</v>
      </c>
      <c r="BF26" s="482">
        <f ca="1">MONTH('wgl tot'!$BE$10)-MONTH('wgl tot'!E26)</f>
        <v>0</v>
      </c>
      <c r="BG26" s="482">
        <f ca="1">DAY('wgl tot'!$BE$10)-DAY('wgl tot'!E26)</f>
        <v>3</v>
      </c>
      <c r="BH26" s="474">
        <f>IF(AND('wgl tot'!F26&gt;0,'wgl tot'!F26&lt;16),0,100)</f>
        <v>100</v>
      </c>
      <c r="BI26" s="474" t="e">
        <f>VLOOKUP('wgl tot'!F26,salaristabellen,22,FALSE)</f>
        <v>#N/A</v>
      </c>
      <c r="BJ26" s="474">
        <f t="shared" si="4"/>
        <v>0</v>
      </c>
      <c r="BK26" s="480">
        <v>42583</v>
      </c>
      <c r="BL26" s="483">
        <f t="shared" si="16"/>
        <v>0.08</v>
      </c>
      <c r="BM26" s="484">
        <f>+tabellen!$D$93</f>
        <v>6.3E-2</v>
      </c>
      <c r="BN26" s="482">
        <f>IF('wgl tot'!BH26=100,0,'wgl tot'!F26)</f>
        <v>0</v>
      </c>
      <c r="BO26" s="484" t="str">
        <f>IF(OR('wgl tot'!F26="DA",'wgl tot'!F26="DB",'wgl tot'!F26="DBuit",'wgl tot'!F26="DC",'wgl tot'!F26="DCuit",MID('wgl tot'!F26,1,5)="meerh"),"j","n")</f>
        <v>n</v>
      </c>
      <c r="BP26" s="485"/>
      <c r="BQ26" s="486" t="e">
        <f>IF('wgl tot'!AH26/'wgl tot'!H26&lt;tabellen!$E$53,0,(+'wgl tot'!AH26-tabellen!$E$53*'wgl tot'!H26)/12*tabellen!$D$53)</f>
        <v>#DIV/0!</v>
      </c>
      <c r="BR26" s="486" t="e">
        <f>IF('wgl tot'!AH26/'wgl tot'!H26&lt;tabellen!$E$54,0,(+'wgl tot'!AH26-tabellen!$E$54*'wgl tot'!H26)/12*tabellen!$D$54)</f>
        <v>#DIV/0!</v>
      </c>
      <c r="BS26" s="486">
        <f>'wgl tot'!AH26/12*tabellen!$D$55</f>
        <v>0</v>
      </c>
      <c r="BT26" s="487" t="e">
        <f t="shared" si="5"/>
        <v>#DIV/0!</v>
      </c>
      <c r="BU26" s="488" t="e">
        <f>+('wgl tot'!AF26+'wgl tot'!AI26)/12-'wgl tot'!BT26</f>
        <v>#DIV/0!</v>
      </c>
      <c r="BV26" s="488" t="e">
        <f>ROUND(IF('wgl tot'!BU26&gt;tabellen!$H$58,tabellen!$H$58,'wgl tot'!BU26)*tabellen!$C$58,2)</f>
        <v>#DIV/0!</v>
      </c>
      <c r="BW26" s="488" t="e">
        <f>+'wgl tot'!BU26+'wgl tot'!BV26</f>
        <v>#DIV/0!</v>
      </c>
      <c r="BX26" s="489">
        <f t="shared" si="6"/>
        <v>1900</v>
      </c>
      <c r="BY26" s="489">
        <f t="shared" si="7"/>
        <v>1</v>
      </c>
      <c r="BZ26" s="482">
        <f t="shared" si="8"/>
        <v>0</v>
      </c>
      <c r="CA26" s="480">
        <f t="shared" si="14"/>
        <v>22462</v>
      </c>
      <c r="CB26" s="480">
        <f t="shared" ca="1" si="15"/>
        <v>43103.670106134261</v>
      </c>
      <c r="CC26" s="474"/>
      <c r="CD26" s="480"/>
      <c r="CE26" s="474"/>
      <c r="CF26" s="485"/>
      <c r="CG26" s="485"/>
      <c r="CH26" s="485"/>
      <c r="CI26" s="485"/>
      <c r="CJ26" s="485"/>
      <c r="CK26" s="485"/>
    </row>
    <row r="27" spans="2:89" ht="13.5" customHeight="1" x14ac:dyDescent="0.2">
      <c r="B27" s="318"/>
      <c r="C27" s="336"/>
      <c r="D27" s="286"/>
      <c r="E27" s="287"/>
      <c r="F27" s="374"/>
      <c r="G27" s="288"/>
      <c r="H27" s="289"/>
      <c r="I27" s="288"/>
      <c r="J27" s="288"/>
      <c r="K27" s="288"/>
      <c r="L27" s="288"/>
      <c r="M27" s="288"/>
      <c r="N27" s="290"/>
      <c r="O27" s="336"/>
      <c r="P27" s="499">
        <f>IF(F27="",0,(VLOOKUP('wgl tot'!F27,salaristabellen,'wgl tot'!G27+1,FALSE)))</f>
        <v>0</v>
      </c>
      <c r="Q27" s="518">
        <f t="shared" si="0"/>
        <v>0</v>
      </c>
      <c r="R27" s="336"/>
      <c r="S27" s="493">
        <f>ROUND(IF(I27="j",VLOOKUP(BJ27,uitlooptoeslag,2,FALSE))*IF('wgl tot'!H27&gt;1,1,'wgl tot'!H27),2)</f>
        <v>0</v>
      </c>
      <c r="T27" s="493">
        <f>ROUND(IF(OR('wgl tot'!F27="LA",'wgl tot'!F27="LB"),IF(J27="j",tabellen!$C$79*'wgl tot'!H27,0),0),2)</f>
        <v>0</v>
      </c>
      <c r="U27" s="493">
        <f>ROUND(IF(('wgl tot'!Q27+'wgl tot'!S27+'wgl tot'!T27)*BL27&lt;'wgl tot'!H27*tabellen!$D$92,'wgl tot'!H27*tabellen!$D$92,('wgl tot'!Q27+'wgl tot'!S27+'wgl tot'!T27)*BL27),2)</f>
        <v>0</v>
      </c>
      <c r="V27" s="493">
        <f>ROUND(+('wgl tot'!Q27+'wgl tot'!S27+'wgl tot'!T27)*BM27,2)</f>
        <v>0</v>
      </c>
      <c r="W27" s="493">
        <f>+tabellen!$C$87*'wgl tot'!H27</f>
        <v>0</v>
      </c>
      <c r="X27" s="493">
        <f>VLOOKUP(BN27,eindejaarsuitkering_OOP,2,TRUE)*'wgl tot'!H27/12</f>
        <v>0</v>
      </c>
      <c r="Y27" s="493">
        <f>ROUND(IF(BO27="j",tabellen!$D$101*IF('wgl tot'!H27&gt;1,1,'wgl tot'!H27),0),2)</f>
        <v>0</v>
      </c>
      <c r="Z27" s="511">
        <f t="shared" si="9"/>
        <v>0</v>
      </c>
      <c r="AA27" s="338"/>
      <c r="AB27" s="339"/>
      <c r="AC27" s="492">
        <f t="shared" si="10"/>
        <v>0</v>
      </c>
      <c r="AD27" s="493">
        <f>ROUND(IF(L27="j",VLOOKUP(K27,bindingstoelage,2,FALSE))*IF('wgl tot'!H27&gt;1,1,'wgl tot'!H27),2)</f>
        <v>0</v>
      </c>
      <c r="AE27" s="493">
        <f>ROUND('wgl tot'!H27*tabellen!$D$99,2)</f>
        <v>0</v>
      </c>
      <c r="AF27" s="492">
        <f t="shared" si="11"/>
        <v>0</v>
      </c>
      <c r="AG27" s="336"/>
      <c r="AH27" s="492">
        <f t="shared" si="12"/>
        <v>0</v>
      </c>
      <c r="AI27" s="494">
        <f>IF('wgl tot'!E27&lt;1950,0,+('wgl tot'!Q27+'wgl tot'!S27+'wgl tot'!T27)*tabellen!$C$89)*12</f>
        <v>0</v>
      </c>
      <c r="AJ27" s="336"/>
      <c r="AK27" s="493">
        <f t="shared" si="1"/>
        <v>0</v>
      </c>
      <c r="AL27" s="493">
        <f>IF(F27="",0,(IF('wgl tot'!AH27/'wgl tot'!H27&lt;tabellen!$E$53,0,('wgl tot'!AH27-tabellen!$E$53*'wgl tot'!H27)/12)*tabellen!$C$53))</f>
        <v>0</v>
      </c>
      <c r="AM27" s="493">
        <f>IF(F27="",0,(IF('wgl tot'!AH27/'wgl tot'!H27&lt;tabellen!$E$54,0,(+'wgl tot'!AH27-tabellen!$E$54*'wgl tot'!H27)/12)*tabellen!$C$54))</f>
        <v>0</v>
      </c>
      <c r="AN27" s="493">
        <f>'wgl tot'!AH27/12*tabellen!$C$55</f>
        <v>0</v>
      </c>
      <c r="AO27" s="493">
        <f>IF(H27=0,0,IF(BU27&gt;tabellen!$G$56/12,tabellen!$G$56/12,BU27)*(tabellen!$C$56+tabellen!$C$57))</f>
        <v>0</v>
      </c>
      <c r="AP27" s="493">
        <f>IF(F27="",0,('wgl tot'!BV27))</f>
        <v>0</v>
      </c>
      <c r="AQ27" s="495">
        <f>IF(F27="",0,(IF('wgl tot'!BU27&gt;tabellen!$G$59*'wgl tot'!H27/12,tabellen!$G$59*'wgl tot'!H27/12,'wgl tot'!BU27)*tabellen!$C$59))</f>
        <v>0</v>
      </c>
      <c r="AR27" s="495">
        <f>IF(F27="",0,('wgl tot'!BU27*IF(N27=1,tabellen!$C$60,IF(N27=2,tabellen!C80,IF(N27=3,tabellen!$C$62,tabellen!$C$63)))))</f>
        <v>0</v>
      </c>
      <c r="AS27" s="495">
        <f>IF(F27="",0,('wgl tot'!BU27*tabellen!$C$64))</f>
        <v>0</v>
      </c>
      <c r="AT27" s="495">
        <f>+'wgl tot'!AI27/12</f>
        <v>0</v>
      </c>
      <c r="AU27" s="530">
        <v>0</v>
      </c>
      <c r="AV27" s="291">
        <f t="shared" si="2"/>
        <v>0</v>
      </c>
      <c r="AW27" s="515">
        <f t="shared" si="3"/>
        <v>0</v>
      </c>
      <c r="AX27" s="515">
        <f t="shared" si="13"/>
        <v>0</v>
      </c>
      <c r="AY27" s="336"/>
      <c r="AZ27" s="501" t="str">
        <f>IF(AW27=0,"",(+'wgl tot'!AW27/'wgl tot'!Q27-1))</f>
        <v/>
      </c>
      <c r="BA27" s="336"/>
      <c r="BB27" s="319"/>
      <c r="BE27" s="482">
        <f ca="1">YEAR('wgl tot'!$BE$10)-YEAR('wgl tot'!E27)</f>
        <v>118</v>
      </c>
      <c r="BF27" s="482">
        <f ca="1">MONTH('wgl tot'!$BE$10)-MONTH('wgl tot'!E27)</f>
        <v>0</v>
      </c>
      <c r="BG27" s="482">
        <f ca="1">DAY('wgl tot'!$BE$10)-DAY('wgl tot'!E27)</f>
        <v>3</v>
      </c>
      <c r="BH27" s="474">
        <f>IF(AND('wgl tot'!F27&gt;0,'wgl tot'!F27&lt;16),0,100)</f>
        <v>100</v>
      </c>
      <c r="BI27" s="474" t="e">
        <f>VLOOKUP('wgl tot'!F27,salaristabellen,22,FALSE)</f>
        <v>#N/A</v>
      </c>
      <c r="BJ27" s="474">
        <f t="shared" si="4"/>
        <v>0</v>
      </c>
      <c r="BK27" s="480">
        <v>42583</v>
      </c>
      <c r="BL27" s="483">
        <f t="shared" si="16"/>
        <v>0.08</v>
      </c>
      <c r="BM27" s="484">
        <f>+tabellen!$D$93</f>
        <v>6.3E-2</v>
      </c>
      <c r="BN27" s="482">
        <f>IF('wgl tot'!BH27=100,0,'wgl tot'!F27)</f>
        <v>0</v>
      </c>
      <c r="BO27" s="484" t="str">
        <f>IF(OR('wgl tot'!F27="DA",'wgl tot'!F27="DB",'wgl tot'!F27="DBuit",'wgl tot'!F27="DC",'wgl tot'!F27="DCuit",MID('wgl tot'!F27,1,5)="meerh"),"j","n")</f>
        <v>n</v>
      </c>
      <c r="BP27" s="485"/>
      <c r="BQ27" s="486" t="e">
        <f>IF('wgl tot'!AH27/'wgl tot'!H27&lt;tabellen!$E$53,0,(+'wgl tot'!AH27-tabellen!$E$53*'wgl tot'!H27)/12*tabellen!$D$53)</f>
        <v>#DIV/0!</v>
      </c>
      <c r="BR27" s="486" t="e">
        <f>IF('wgl tot'!AH27/'wgl tot'!H27&lt;tabellen!$E$54,0,(+'wgl tot'!AH27-tabellen!$E$54*'wgl tot'!H27)/12*tabellen!$D$54)</f>
        <v>#DIV/0!</v>
      </c>
      <c r="BS27" s="486">
        <f>'wgl tot'!AH27/12*tabellen!$D$55</f>
        <v>0</v>
      </c>
      <c r="BT27" s="487" t="e">
        <f t="shared" si="5"/>
        <v>#DIV/0!</v>
      </c>
      <c r="BU27" s="488" t="e">
        <f>+('wgl tot'!AF27+'wgl tot'!AI27)/12-'wgl tot'!BT27</f>
        <v>#DIV/0!</v>
      </c>
      <c r="BV27" s="488" t="e">
        <f>ROUND(IF('wgl tot'!BU27&gt;tabellen!$H$58,tabellen!$H$58,'wgl tot'!BU27)*tabellen!$C$58,2)</f>
        <v>#DIV/0!</v>
      </c>
      <c r="BW27" s="488" t="e">
        <f>+'wgl tot'!BU27+'wgl tot'!BV27</f>
        <v>#DIV/0!</v>
      </c>
      <c r="BX27" s="489">
        <f t="shared" si="6"/>
        <v>1900</v>
      </c>
      <c r="BY27" s="489">
        <f t="shared" si="7"/>
        <v>1</v>
      </c>
      <c r="BZ27" s="482">
        <f t="shared" si="8"/>
        <v>0</v>
      </c>
      <c r="CA27" s="480">
        <f t="shared" si="14"/>
        <v>22462</v>
      </c>
      <c r="CB27" s="480">
        <f t="shared" ca="1" si="15"/>
        <v>43103.670106134261</v>
      </c>
      <c r="CC27" s="474"/>
      <c r="CD27" s="480"/>
      <c r="CE27" s="474"/>
      <c r="CF27" s="485"/>
      <c r="CG27" s="485"/>
      <c r="CH27" s="485"/>
      <c r="CI27" s="485"/>
      <c r="CJ27" s="485"/>
      <c r="CK27" s="485"/>
    </row>
    <row r="28" spans="2:89" ht="13.5" customHeight="1" x14ac:dyDescent="0.2">
      <c r="B28" s="318"/>
      <c r="C28" s="336"/>
      <c r="D28" s="286"/>
      <c r="E28" s="287"/>
      <c r="F28" s="374"/>
      <c r="G28" s="288"/>
      <c r="H28" s="289"/>
      <c r="I28" s="288"/>
      <c r="J28" s="288"/>
      <c r="K28" s="288"/>
      <c r="L28" s="288"/>
      <c r="M28" s="288"/>
      <c r="N28" s="290"/>
      <c r="O28" s="336"/>
      <c r="P28" s="499">
        <f>IF(F28="",0,(VLOOKUP('wgl tot'!F28,salaristabellen,'wgl tot'!G28+1,FALSE)))</f>
        <v>0</v>
      </c>
      <c r="Q28" s="518">
        <f t="shared" si="0"/>
        <v>0</v>
      </c>
      <c r="R28" s="336"/>
      <c r="S28" s="493">
        <f>ROUND(IF(I28="j",VLOOKUP(BJ28,uitlooptoeslag,2,FALSE))*IF('wgl tot'!H28&gt;1,1,'wgl tot'!H28),2)</f>
        <v>0</v>
      </c>
      <c r="T28" s="493">
        <f>ROUND(IF(OR('wgl tot'!F28="LA",'wgl tot'!F28="LB"),IF(J28="j",tabellen!$C$79*'wgl tot'!H28,0),0),2)</f>
        <v>0</v>
      </c>
      <c r="U28" s="493">
        <f>ROUND(IF(('wgl tot'!Q28+'wgl tot'!S28+'wgl tot'!T28)*BL28&lt;'wgl tot'!H28*tabellen!$D$92,'wgl tot'!H28*tabellen!$D$92,('wgl tot'!Q28+'wgl tot'!S28+'wgl tot'!T28)*BL28),2)</f>
        <v>0</v>
      </c>
      <c r="V28" s="493">
        <f>ROUND(+('wgl tot'!Q28+'wgl tot'!S28+'wgl tot'!T28)*BM28,2)</f>
        <v>0</v>
      </c>
      <c r="W28" s="493">
        <f>+tabellen!$C$87*'wgl tot'!H28</f>
        <v>0</v>
      </c>
      <c r="X28" s="493">
        <f>VLOOKUP(BN28,eindejaarsuitkering_OOP,2,TRUE)*'wgl tot'!H28/12</f>
        <v>0</v>
      </c>
      <c r="Y28" s="493">
        <f>ROUND(IF(BO28="j",tabellen!$D$101*IF('wgl tot'!H28&gt;1,1,'wgl tot'!H28),0),2)</f>
        <v>0</v>
      </c>
      <c r="Z28" s="511">
        <f t="shared" si="9"/>
        <v>0</v>
      </c>
      <c r="AA28" s="338"/>
      <c r="AB28" s="339"/>
      <c r="AC28" s="492">
        <f t="shared" si="10"/>
        <v>0</v>
      </c>
      <c r="AD28" s="493">
        <f>ROUND(IF(L28="j",VLOOKUP(K28,bindingstoelage,2,FALSE))*IF('wgl tot'!H28&gt;1,1,'wgl tot'!H28),2)</f>
        <v>0</v>
      </c>
      <c r="AE28" s="493">
        <f>ROUND('wgl tot'!H28*tabellen!$D$99,2)</f>
        <v>0</v>
      </c>
      <c r="AF28" s="492">
        <f t="shared" si="11"/>
        <v>0</v>
      </c>
      <c r="AG28" s="336"/>
      <c r="AH28" s="492">
        <f t="shared" si="12"/>
        <v>0</v>
      </c>
      <c r="AI28" s="494">
        <f>IF('wgl tot'!E28&lt;1950,0,+('wgl tot'!Q28+'wgl tot'!S28+'wgl tot'!T28)*tabellen!$C$89)*12</f>
        <v>0</v>
      </c>
      <c r="AJ28" s="336"/>
      <c r="AK28" s="493">
        <f t="shared" si="1"/>
        <v>0</v>
      </c>
      <c r="AL28" s="493">
        <f>IF(F28="",0,(IF('wgl tot'!AH28/'wgl tot'!H28&lt;tabellen!$E$53,0,('wgl tot'!AH28-tabellen!$E$53*'wgl tot'!H28)/12)*tabellen!$C$53))</f>
        <v>0</v>
      </c>
      <c r="AM28" s="493">
        <f>IF(F28="",0,(IF('wgl tot'!AH28/'wgl tot'!H28&lt;tabellen!$E$54,0,(+'wgl tot'!AH28-tabellen!$E$54*'wgl tot'!H28)/12)*tabellen!$C$54))</f>
        <v>0</v>
      </c>
      <c r="AN28" s="493">
        <f>'wgl tot'!AH28/12*tabellen!$C$55</f>
        <v>0</v>
      </c>
      <c r="AO28" s="493">
        <f>IF(H28=0,0,IF(BU28&gt;tabellen!$G$56/12,tabellen!$G$56/12,BU28)*(tabellen!$C$56+tabellen!$C$57))</f>
        <v>0</v>
      </c>
      <c r="AP28" s="493">
        <f>IF(F28="",0,('wgl tot'!BV28))</f>
        <v>0</v>
      </c>
      <c r="AQ28" s="495">
        <f>IF(F28="",0,(IF('wgl tot'!BU28&gt;tabellen!$G$59*'wgl tot'!H28/12,tabellen!$G$59*'wgl tot'!H28/12,'wgl tot'!BU28)*tabellen!$C$59))</f>
        <v>0</v>
      </c>
      <c r="AR28" s="495">
        <f>IF(F28="",0,('wgl tot'!BU28*IF(N28=1,tabellen!$C$60,IF(N28=2,tabellen!C81,IF(N28=3,tabellen!$C$62,tabellen!$C$63)))))</f>
        <v>0</v>
      </c>
      <c r="AS28" s="495">
        <f>IF(F28="",0,('wgl tot'!BU28*tabellen!$C$64))</f>
        <v>0</v>
      </c>
      <c r="AT28" s="495">
        <f>+'wgl tot'!AI28/12</f>
        <v>0</v>
      </c>
      <c r="AU28" s="530">
        <v>0</v>
      </c>
      <c r="AV28" s="291">
        <f t="shared" si="2"/>
        <v>0</v>
      </c>
      <c r="AW28" s="515">
        <f t="shared" si="3"/>
        <v>0</v>
      </c>
      <c r="AX28" s="515">
        <f t="shared" si="13"/>
        <v>0</v>
      </c>
      <c r="AY28" s="336"/>
      <c r="AZ28" s="501" t="str">
        <f>IF(AW28=0,"",(+'wgl tot'!AW28/'wgl tot'!Q28-1))</f>
        <v/>
      </c>
      <c r="BA28" s="336"/>
      <c r="BB28" s="319"/>
      <c r="BE28" s="482">
        <f ca="1">YEAR('wgl tot'!$BE$10)-YEAR('wgl tot'!E28)</f>
        <v>118</v>
      </c>
      <c r="BF28" s="482">
        <f ca="1">MONTH('wgl tot'!$BE$10)-MONTH('wgl tot'!E28)</f>
        <v>0</v>
      </c>
      <c r="BG28" s="482">
        <f ca="1">DAY('wgl tot'!$BE$10)-DAY('wgl tot'!E28)</f>
        <v>3</v>
      </c>
      <c r="BH28" s="474">
        <f>IF(AND('wgl tot'!F28&gt;0,'wgl tot'!F28&lt;16),0,100)</f>
        <v>100</v>
      </c>
      <c r="BI28" s="474" t="e">
        <f>VLOOKUP('wgl tot'!F28,salaristabellen,22,FALSE)</f>
        <v>#N/A</v>
      </c>
      <c r="BJ28" s="474">
        <f t="shared" si="4"/>
        <v>0</v>
      </c>
      <c r="BK28" s="480">
        <v>42583</v>
      </c>
      <c r="BL28" s="483">
        <f t="shared" si="16"/>
        <v>0.08</v>
      </c>
      <c r="BM28" s="484">
        <f>+tabellen!$D$93</f>
        <v>6.3E-2</v>
      </c>
      <c r="BN28" s="482">
        <f>IF('wgl tot'!BH28=100,0,'wgl tot'!F28)</f>
        <v>0</v>
      </c>
      <c r="BO28" s="484" t="str">
        <f>IF(OR('wgl tot'!F28="DA",'wgl tot'!F28="DB",'wgl tot'!F28="DBuit",'wgl tot'!F28="DC",'wgl tot'!F28="DCuit",MID('wgl tot'!F28,1,5)="meerh"),"j","n")</f>
        <v>n</v>
      </c>
      <c r="BP28" s="485"/>
      <c r="BQ28" s="486" t="e">
        <f>IF('wgl tot'!AH28/'wgl tot'!H28&lt;tabellen!$E$53,0,(+'wgl tot'!AH28-tabellen!$E$53*'wgl tot'!H28)/12*tabellen!$D$53)</f>
        <v>#DIV/0!</v>
      </c>
      <c r="BR28" s="486" t="e">
        <f>IF('wgl tot'!AH28/'wgl tot'!H28&lt;tabellen!$E$54,0,(+'wgl tot'!AH28-tabellen!$E$54*'wgl tot'!H28)/12*tabellen!$D$54)</f>
        <v>#DIV/0!</v>
      </c>
      <c r="BS28" s="486">
        <f>'wgl tot'!AH28/12*tabellen!$D$55</f>
        <v>0</v>
      </c>
      <c r="BT28" s="487" t="e">
        <f t="shared" ref="BT28:BT69" si="17">SUM(BQ28:BS28)</f>
        <v>#DIV/0!</v>
      </c>
      <c r="BU28" s="488" t="e">
        <f>+('wgl tot'!AF28+'wgl tot'!AI28)/12-'wgl tot'!BT28</f>
        <v>#DIV/0!</v>
      </c>
      <c r="BV28" s="488" t="e">
        <f>ROUND(IF('wgl tot'!BU28&gt;tabellen!$H$58,tabellen!$H$58,'wgl tot'!BU28)*tabellen!$C$58,2)</f>
        <v>#DIV/0!</v>
      </c>
      <c r="BW28" s="488" t="e">
        <f>+'wgl tot'!BU28+'wgl tot'!BV28</f>
        <v>#DIV/0!</v>
      </c>
      <c r="BX28" s="489">
        <f t="shared" si="6"/>
        <v>1900</v>
      </c>
      <c r="BY28" s="489">
        <f t="shared" si="7"/>
        <v>1</v>
      </c>
      <c r="BZ28" s="482">
        <f t="shared" si="8"/>
        <v>0</v>
      </c>
      <c r="CA28" s="480">
        <f t="shared" si="14"/>
        <v>22462</v>
      </c>
      <c r="CB28" s="480">
        <f t="shared" ca="1" si="15"/>
        <v>43103.670106134261</v>
      </c>
      <c r="CC28" s="474"/>
      <c r="CD28" s="480"/>
      <c r="CE28" s="474"/>
      <c r="CF28" s="485"/>
      <c r="CG28" s="485"/>
      <c r="CH28" s="485"/>
      <c r="CI28" s="485"/>
      <c r="CJ28" s="485"/>
      <c r="CK28" s="485"/>
    </row>
    <row r="29" spans="2:89" ht="13.5" customHeight="1" x14ac:dyDescent="0.2">
      <c r="B29" s="318"/>
      <c r="C29" s="336"/>
      <c r="D29" s="286"/>
      <c r="E29" s="287"/>
      <c r="F29" s="374"/>
      <c r="G29" s="288"/>
      <c r="H29" s="289"/>
      <c r="I29" s="288"/>
      <c r="J29" s="288"/>
      <c r="K29" s="288"/>
      <c r="L29" s="288"/>
      <c r="M29" s="288"/>
      <c r="N29" s="290"/>
      <c r="O29" s="336"/>
      <c r="P29" s="499">
        <f>IF(F29="",0,(VLOOKUP('wgl tot'!F29,salaristabellen,'wgl tot'!G29+1,FALSE)))</f>
        <v>0</v>
      </c>
      <c r="Q29" s="518">
        <f t="shared" si="0"/>
        <v>0</v>
      </c>
      <c r="R29" s="336"/>
      <c r="S29" s="493">
        <f>ROUND(IF(I29="j",VLOOKUP(BJ29,uitlooptoeslag,2,FALSE))*IF('wgl tot'!H29&gt;1,1,'wgl tot'!H29),2)</f>
        <v>0</v>
      </c>
      <c r="T29" s="493">
        <f>ROUND(IF(OR('wgl tot'!F29="LA",'wgl tot'!F29="LB"),IF(J29="j",tabellen!$C$79*'wgl tot'!H29,0),0),2)</f>
        <v>0</v>
      </c>
      <c r="U29" s="493">
        <f>ROUND(IF(('wgl tot'!Q29+'wgl tot'!S29+'wgl tot'!T29)*BL29&lt;'wgl tot'!H29*tabellen!$D$92,'wgl tot'!H29*tabellen!$D$92,('wgl tot'!Q29+'wgl tot'!S29+'wgl tot'!T29)*BL29),2)</f>
        <v>0</v>
      </c>
      <c r="V29" s="493">
        <f>ROUND(+('wgl tot'!Q29+'wgl tot'!S29+'wgl tot'!T29)*BM29,2)</f>
        <v>0</v>
      </c>
      <c r="W29" s="493">
        <f>+tabellen!$C$87*'wgl tot'!H29</f>
        <v>0</v>
      </c>
      <c r="X29" s="493">
        <f>VLOOKUP(BN29,eindejaarsuitkering_OOP,2,TRUE)*'wgl tot'!H29/12</f>
        <v>0</v>
      </c>
      <c r="Y29" s="493">
        <f>ROUND(IF(BO29="j",tabellen!$D$101*IF('wgl tot'!H29&gt;1,1,'wgl tot'!H29),0),2)</f>
        <v>0</v>
      </c>
      <c r="Z29" s="511">
        <f t="shared" si="9"/>
        <v>0</v>
      </c>
      <c r="AA29" s="338"/>
      <c r="AB29" s="339"/>
      <c r="AC29" s="492">
        <f t="shared" si="10"/>
        <v>0</v>
      </c>
      <c r="AD29" s="493">
        <f>ROUND(IF(L29="j",VLOOKUP(K29,bindingstoelage,2,FALSE))*IF('wgl tot'!H29&gt;1,1,'wgl tot'!H29),2)</f>
        <v>0</v>
      </c>
      <c r="AE29" s="493">
        <f>ROUND('wgl tot'!H29*tabellen!$D$99,2)</f>
        <v>0</v>
      </c>
      <c r="AF29" s="492">
        <f t="shared" si="11"/>
        <v>0</v>
      </c>
      <c r="AG29" s="336"/>
      <c r="AH29" s="492">
        <f t="shared" si="12"/>
        <v>0</v>
      </c>
      <c r="AI29" s="494">
        <f>IF('wgl tot'!E29&lt;1950,0,+('wgl tot'!Q29+'wgl tot'!S29+'wgl tot'!T29)*tabellen!$C$89)*12</f>
        <v>0</v>
      </c>
      <c r="AJ29" s="336"/>
      <c r="AK29" s="493">
        <f t="shared" si="1"/>
        <v>0</v>
      </c>
      <c r="AL29" s="493">
        <f>IF(F29="",0,(IF('wgl tot'!AH29/'wgl tot'!H29&lt;tabellen!$E$53,0,('wgl tot'!AH29-tabellen!$E$53*'wgl tot'!H29)/12)*tabellen!$C$53))</f>
        <v>0</v>
      </c>
      <c r="AM29" s="493">
        <f>IF(F29="",0,(IF('wgl tot'!AH29/'wgl tot'!H29&lt;tabellen!$E$54,0,(+'wgl tot'!AH29-tabellen!$E$54*'wgl tot'!H29)/12)*tabellen!$C$54))</f>
        <v>0</v>
      </c>
      <c r="AN29" s="493">
        <f>'wgl tot'!AH29/12*tabellen!$C$55</f>
        <v>0</v>
      </c>
      <c r="AO29" s="493">
        <f>IF(H29=0,0,IF(BU29&gt;tabellen!$G$56/12,tabellen!$G$56/12,BU29)*(tabellen!$C$56+tabellen!$C$57))</f>
        <v>0</v>
      </c>
      <c r="AP29" s="493">
        <f>IF(F29="",0,('wgl tot'!BV29))</f>
        <v>0</v>
      </c>
      <c r="AQ29" s="495">
        <f>IF(F29="",0,(IF('wgl tot'!BU29&gt;tabellen!$G$59*'wgl tot'!H29/12,tabellen!$G$59*'wgl tot'!H29/12,'wgl tot'!BU29)*tabellen!$C$59))</f>
        <v>0</v>
      </c>
      <c r="AR29" s="495">
        <f>IF(F29="",0,('wgl tot'!BU29*IF(N29=1,tabellen!$C$60,IF(N29=2,tabellen!C82,IF(N29=3,tabellen!$C$62,tabellen!$C$63)))))</f>
        <v>0</v>
      </c>
      <c r="AS29" s="495">
        <f>IF(F29="",0,('wgl tot'!BU29*tabellen!$C$64))</f>
        <v>0</v>
      </c>
      <c r="AT29" s="495">
        <f>+'wgl tot'!AI29/12</f>
        <v>0</v>
      </c>
      <c r="AU29" s="530">
        <v>0</v>
      </c>
      <c r="AV29" s="291">
        <f t="shared" si="2"/>
        <v>0</v>
      </c>
      <c r="AW29" s="515">
        <f t="shared" si="3"/>
        <v>0</v>
      </c>
      <c r="AX29" s="515">
        <f t="shared" si="13"/>
        <v>0</v>
      </c>
      <c r="AY29" s="336"/>
      <c r="AZ29" s="501" t="str">
        <f>IF(AW29=0,"",(+'wgl tot'!AW29/'wgl tot'!Q29-1))</f>
        <v/>
      </c>
      <c r="BA29" s="336"/>
      <c r="BB29" s="319"/>
      <c r="BE29" s="482">
        <f ca="1">YEAR('wgl tot'!$BE$10)-YEAR('wgl tot'!E29)</f>
        <v>118</v>
      </c>
      <c r="BF29" s="482">
        <f ca="1">MONTH('wgl tot'!$BE$10)-MONTH('wgl tot'!E29)</f>
        <v>0</v>
      </c>
      <c r="BG29" s="482">
        <f ca="1">DAY('wgl tot'!$BE$10)-DAY('wgl tot'!E29)</f>
        <v>3</v>
      </c>
      <c r="BH29" s="474">
        <f>IF(AND('wgl tot'!F29&gt;0,'wgl tot'!F29&lt;16),0,100)</f>
        <v>100</v>
      </c>
      <c r="BI29" s="474" t="e">
        <f>VLOOKUP('wgl tot'!F29,salaristabellen,22,FALSE)</f>
        <v>#N/A</v>
      </c>
      <c r="BJ29" s="474">
        <f t="shared" si="4"/>
        <v>0</v>
      </c>
      <c r="BK29" s="480">
        <v>42583</v>
      </c>
      <c r="BL29" s="483">
        <f t="shared" si="16"/>
        <v>0.08</v>
      </c>
      <c r="BM29" s="484">
        <f>+tabellen!$D$93</f>
        <v>6.3E-2</v>
      </c>
      <c r="BN29" s="482">
        <f>IF('wgl tot'!BH29=100,0,'wgl tot'!F29)</f>
        <v>0</v>
      </c>
      <c r="BO29" s="484" t="str">
        <f>IF(OR('wgl tot'!F29="DA",'wgl tot'!F29="DB",'wgl tot'!F29="DBuit",'wgl tot'!F29="DC",'wgl tot'!F29="DCuit",MID('wgl tot'!F29,1,5)="meerh"),"j","n")</f>
        <v>n</v>
      </c>
      <c r="BP29" s="485"/>
      <c r="BQ29" s="486" t="e">
        <f>IF('wgl tot'!AH29/'wgl tot'!H29&lt;tabellen!$E$53,0,(+'wgl tot'!AH29-tabellen!$E$53*'wgl tot'!H29)/12*tabellen!$D$53)</f>
        <v>#DIV/0!</v>
      </c>
      <c r="BR29" s="486" t="e">
        <f>IF('wgl tot'!AH29/'wgl tot'!H29&lt;tabellen!$E$54,0,(+'wgl tot'!AH29-tabellen!$E$54*'wgl tot'!H29)/12*tabellen!$D$54)</f>
        <v>#DIV/0!</v>
      </c>
      <c r="BS29" s="486">
        <f>'wgl tot'!AH29/12*tabellen!$D$55</f>
        <v>0</v>
      </c>
      <c r="BT29" s="487" t="e">
        <f t="shared" si="17"/>
        <v>#DIV/0!</v>
      </c>
      <c r="BU29" s="488" t="e">
        <f>+('wgl tot'!AF29+'wgl tot'!AI29)/12-'wgl tot'!BT29</f>
        <v>#DIV/0!</v>
      </c>
      <c r="BV29" s="488" t="e">
        <f>ROUND(IF('wgl tot'!BU29&gt;tabellen!$H$58,tabellen!$H$58,'wgl tot'!BU29)*tabellen!$C$58,2)</f>
        <v>#DIV/0!</v>
      </c>
      <c r="BW29" s="488" t="e">
        <f>+'wgl tot'!BU29+'wgl tot'!BV29</f>
        <v>#DIV/0!</v>
      </c>
      <c r="BX29" s="489">
        <f t="shared" si="6"/>
        <v>1900</v>
      </c>
      <c r="BY29" s="489">
        <f t="shared" si="7"/>
        <v>1</v>
      </c>
      <c r="BZ29" s="482">
        <f t="shared" si="8"/>
        <v>0</v>
      </c>
      <c r="CA29" s="480">
        <f t="shared" si="14"/>
        <v>22462</v>
      </c>
      <c r="CB29" s="480">
        <f t="shared" ca="1" si="15"/>
        <v>43103.670106134261</v>
      </c>
      <c r="CC29" s="474"/>
      <c r="CD29" s="480"/>
      <c r="CE29" s="474"/>
      <c r="CF29" s="485"/>
      <c r="CG29" s="485"/>
      <c r="CH29" s="485"/>
      <c r="CI29" s="485"/>
      <c r="CJ29" s="485"/>
      <c r="CK29" s="485"/>
    </row>
    <row r="30" spans="2:89" ht="13.5" customHeight="1" x14ac:dyDescent="0.2">
      <c r="B30" s="318"/>
      <c r="C30" s="336"/>
      <c r="D30" s="286"/>
      <c r="E30" s="287"/>
      <c r="F30" s="374"/>
      <c r="G30" s="288"/>
      <c r="H30" s="289"/>
      <c r="I30" s="288"/>
      <c r="J30" s="288"/>
      <c r="K30" s="288"/>
      <c r="L30" s="288"/>
      <c r="M30" s="288"/>
      <c r="N30" s="290"/>
      <c r="O30" s="336"/>
      <c r="P30" s="499">
        <f>IF(F30="",0,(VLOOKUP('wgl tot'!F30,salaristabellen,'wgl tot'!G30+1,FALSE)))</f>
        <v>0</v>
      </c>
      <c r="Q30" s="518">
        <f t="shared" si="0"/>
        <v>0</v>
      </c>
      <c r="R30" s="336"/>
      <c r="S30" s="493">
        <f>ROUND(IF(I30="j",VLOOKUP(BJ30,uitlooptoeslag,2,FALSE))*IF('wgl tot'!H30&gt;1,1,'wgl tot'!H30),2)</f>
        <v>0</v>
      </c>
      <c r="T30" s="493">
        <f>ROUND(IF(OR('wgl tot'!F30="LA",'wgl tot'!F30="LB"),IF(J30="j",tabellen!$C$79*'wgl tot'!H30,0),0),2)</f>
        <v>0</v>
      </c>
      <c r="U30" s="493">
        <f>ROUND(IF(('wgl tot'!Q30+'wgl tot'!S30+'wgl tot'!T30)*BL30&lt;'wgl tot'!H30*tabellen!$D$92,'wgl tot'!H30*tabellen!$D$92,('wgl tot'!Q30+'wgl tot'!S30+'wgl tot'!T30)*BL30),2)</f>
        <v>0</v>
      </c>
      <c r="V30" s="493">
        <f>ROUND(+('wgl tot'!Q30+'wgl tot'!S30+'wgl tot'!T30)*BM30,2)</f>
        <v>0</v>
      </c>
      <c r="W30" s="493">
        <f>+tabellen!$C$87*'wgl tot'!H30</f>
        <v>0</v>
      </c>
      <c r="X30" s="493">
        <f>VLOOKUP(BN30,eindejaarsuitkering_OOP,2,TRUE)*'wgl tot'!H30/12</f>
        <v>0</v>
      </c>
      <c r="Y30" s="493">
        <f>ROUND(IF(BO30="j",tabellen!$D$101*IF('wgl tot'!H30&gt;1,1,'wgl tot'!H30),0),2)</f>
        <v>0</v>
      </c>
      <c r="Z30" s="511">
        <f t="shared" si="9"/>
        <v>0</v>
      </c>
      <c r="AA30" s="338"/>
      <c r="AB30" s="339"/>
      <c r="AC30" s="492">
        <f t="shared" si="10"/>
        <v>0</v>
      </c>
      <c r="AD30" s="493">
        <f>ROUND(IF(L30="j",VLOOKUP(K30,bindingstoelage,2,FALSE))*IF('wgl tot'!H30&gt;1,1,'wgl tot'!H30),2)</f>
        <v>0</v>
      </c>
      <c r="AE30" s="493">
        <f>ROUND('wgl tot'!H30*tabellen!$D$99,2)</f>
        <v>0</v>
      </c>
      <c r="AF30" s="492">
        <f t="shared" si="11"/>
        <v>0</v>
      </c>
      <c r="AG30" s="336"/>
      <c r="AH30" s="492">
        <f t="shared" si="12"/>
        <v>0</v>
      </c>
      <c r="AI30" s="494">
        <f>IF('wgl tot'!E30&lt;1950,0,+('wgl tot'!Q30+'wgl tot'!S30+'wgl tot'!T30)*tabellen!$C$89)*12</f>
        <v>0</v>
      </c>
      <c r="AJ30" s="336"/>
      <c r="AK30" s="493">
        <f t="shared" si="1"/>
        <v>0</v>
      </c>
      <c r="AL30" s="493">
        <f>IF(F30="",0,(IF('wgl tot'!AH30/'wgl tot'!H30&lt;tabellen!$E$53,0,('wgl tot'!AH30-tabellen!$E$53*'wgl tot'!H30)/12)*tabellen!$C$53))</f>
        <v>0</v>
      </c>
      <c r="AM30" s="493">
        <f>IF(F30="",0,(IF('wgl tot'!AH30/'wgl tot'!H30&lt;tabellen!$E$54,0,(+'wgl tot'!AH30-tabellen!$E$54*'wgl tot'!H30)/12)*tabellen!$C$54))</f>
        <v>0</v>
      </c>
      <c r="AN30" s="493">
        <f>'wgl tot'!AH30/12*tabellen!$C$55</f>
        <v>0</v>
      </c>
      <c r="AO30" s="493">
        <f>IF(H30=0,0,IF(BU30&gt;tabellen!$G$56/12,tabellen!$G$56/12,BU30)*(tabellen!$C$56+tabellen!$C$57))</f>
        <v>0</v>
      </c>
      <c r="AP30" s="493">
        <f>IF(F30="",0,('wgl tot'!BV30))</f>
        <v>0</v>
      </c>
      <c r="AQ30" s="495">
        <f>IF(F30="",0,(IF('wgl tot'!BU30&gt;tabellen!$G$59*'wgl tot'!H30/12,tabellen!$G$59*'wgl tot'!H30/12,'wgl tot'!BU30)*tabellen!$C$59))</f>
        <v>0</v>
      </c>
      <c r="AR30" s="495">
        <f>IF(F30="",0,('wgl tot'!BU30*IF(N30=1,tabellen!$C$60,IF(N30=2,tabellen!C83,IF(N30=3,tabellen!$C$62,tabellen!$C$63)))))</f>
        <v>0</v>
      </c>
      <c r="AS30" s="495">
        <f>IF(F30="",0,('wgl tot'!BU30*tabellen!$C$64))</f>
        <v>0</v>
      </c>
      <c r="AT30" s="495">
        <f>+'wgl tot'!AI30/12</f>
        <v>0</v>
      </c>
      <c r="AU30" s="530">
        <v>0</v>
      </c>
      <c r="AV30" s="291">
        <f t="shared" si="2"/>
        <v>0</v>
      </c>
      <c r="AW30" s="515">
        <f t="shared" si="3"/>
        <v>0</v>
      </c>
      <c r="AX30" s="515">
        <f t="shared" si="13"/>
        <v>0</v>
      </c>
      <c r="AY30" s="336"/>
      <c r="AZ30" s="501" t="str">
        <f>IF(AW30=0,"",(+'wgl tot'!AW30/'wgl tot'!Q30-1))</f>
        <v/>
      </c>
      <c r="BA30" s="336"/>
      <c r="BB30" s="319"/>
      <c r="BE30" s="482">
        <f ca="1">YEAR('wgl tot'!$BE$10)-YEAR('wgl tot'!E30)</f>
        <v>118</v>
      </c>
      <c r="BF30" s="482">
        <f ca="1">MONTH('wgl tot'!$BE$10)-MONTH('wgl tot'!E30)</f>
        <v>0</v>
      </c>
      <c r="BG30" s="482">
        <f ca="1">DAY('wgl tot'!$BE$10)-DAY('wgl tot'!E30)</f>
        <v>3</v>
      </c>
      <c r="BH30" s="474">
        <f>IF(AND('wgl tot'!F30&gt;0,'wgl tot'!F30&lt;16),0,100)</f>
        <v>100</v>
      </c>
      <c r="BI30" s="474" t="e">
        <f>VLOOKUP('wgl tot'!F30,salaristabellen,22,FALSE)</f>
        <v>#N/A</v>
      </c>
      <c r="BJ30" s="474">
        <f t="shared" si="4"/>
        <v>0</v>
      </c>
      <c r="BK30" s="480">
        <v>42583</v>
      </c>
      <c r="BL30" s="483">
        <f t="shared" si="16"/>
        <v>0.08</v>
      </c>
      <c r="BM30" s="484">
        <f>+tabellen!$D$93</f>
        <v>6.3E-2</v>
      </c>
      <c r="BN30" s="482">
        <f>IF('wgl tot'!BH30=100,0,'wgl tot'!F30)</f>
        <v>0</v>
      </c>
      <c r="BO30" s="484" t="str">
        <f>IF(OR('wgl tot'!F30="DA",'wgl tot'!F30="DB",'wgl tot'!F30="DBuit",'wgl tot'!F30="DC",'wgl tot'!F30="DCuit",MID('wgl tot'!F30,1,5)="meerh"),"j","n")</f>
        <v>n</v>
      </c>
      <c r="BP30" s="485"/>
      <c r="BQ30" s="486" t="e">
        <f>IF('wgl tot'!AH30/'wgl tot'!H30&lt;tabellen!$E$53,0,(+'wgl tot'!AH30-tabellen!$E$53*'wgl tot'!H30)/12*tabellen!$D$53)</f>
        <v>#DIV/0!</v>
      </c>
      <c r="BR30" s="486" t="e">
        <f>IF('wgl tot'!AH30/'wgl tot'!H30&lt;tabellen!$E$54,0,(+'wgl tot'!AH30-tabellen!$E$54*'wgl tot'!H30)/12*tabellen!$D$54)</f>
        <v>#DIV/0!</v>
      </c>
      <c r="BS30" s="486">
        <f>'wgl tot'!AH30/12*tabellen!$D$55</f>
        <v>0</v>
      </c>
      <c r="BT30" s="487" t="e">
        <f t="shared" si="17"/>
        <v>#DIV/0!</v>
      </c>
      <c r="BU30" s="488" t="e">
        <f>+('wgl tot'!AF30+'wgl tot'!AI30)/12-'wgl tot'!BT30</f>
        <v>#DIV/0!</v>
      </c>
      <c r="BV30" s="488" t="e">
        <f>ROUND(IF('wgl tot'!BU30&gt;tabellen!$H$58,tabellen!$H$58,'wgl tot'!BU30)*tabellen!$C$58,2)</f>
        <v>#DIV/0!</v>
      </c>
      <c r="BW30" s="488" t="e">
        <f>+'wgl tot'!BU30+'wgl tot'!BV30</f>
        <v>#DIV/0!</v>
      </c>
      <c r="BX30" s="489">
        <f t="shared" si="6"/>
        <v>1900</v>
      </c>
      <c r="BY30" s="489">
        <f t="shared" si="7"/>
        <v>1</v>
      </c>
      <c r="BZ30" s="482">
        <f t="shared" si="8"/>
        <v>0</v>
      </c>
      <c r="CA30" s="480">
        <f t="shared" si="14"/>
        <v>22462</v>
      </c>
      <c r="CB30" s="480">
        <f t="shared" ca="1" si="15"/>
        <v>43103.670106134261</v>
      </c>
      <c r="CC30" s="474"/>
      <c r="CD30" s="480"/>
      <c r="CE30" s="474"/>
      <c r="CF30" s="485"/>
      <c r="CG30" s="485"/>
      <c r="CH30" s="485"/>
      <c r="CI30" s="485"/>
      <c r="CJ30" s="485"/>
      <c r="CK30" s="485"/>
    </row>
    <row r="31" spans="2:89" ht="13.5" customHeight="1" x14ac:dyDescent="0.2">
      <c r="B31" s="318"/>
      <c r="C31" s="336"/>
      <c r="D31" s="286"/>
      <c r="E31" s="287"/>
      <c r="F31" s="374"/>
      <c r="G31" s="288"/>
      <c r="H31" s="289"/>
      <c r="I31" s="288"/>
      <c r="J31" s="288"/>
      <c r="K31" s="288"/>
      <c r="L31" s="288"/>
      <c r="M31" s="288"/>
      <c r="N31" s="290"/>
      <c r="O31" s="336"/>
      <c r="P31" s="499">
        <f>IF(F31="",0,(VLOOKUP('wgl tot'!F31,salaristabellen,'wgl tot'!G31+1,FALSE)))</f>
        <v>0</v>
      </c>
      <c r="Q31" s="518">
        <f t="shared" si="0"/>
        <v>0</v>
      </c>
      <c r="R31" s="336"/>
      <c r="S31" s="493">
        <f>ROUND(IF(I31="j",VLOOKUP(BJ31,uitlooptoeslag,2,FALSE))*IF('wgl tot'!H31&gt;1,1,'wgl tot'!H31),2)</f>
        <v>0</v>
      </c>
      <c r="T31" s="493">
        <f>ROUND(IF(OR('wgl tot'!F31="LA",'wgl tot'!F31="LB"),IF(J31="j",tabellen!$C$79*'wgl tot'!H31,0),0),2)</f>
        <v>0</v>
      </c>
      <c r="U31" s="493">
        <f>ROUND(IF(('wgl tot'!Q31+'wgl tot'!S31+'wgl tot'!T31)*BL31&lt;'wgl tot'!H31*tabellen!$D$92,'wgl tot'!H31*tabellen!$D$92,('wgl tot'!Q31+'wgl tot'!S31+'wgl tot'!T31)*BL31),2)</f>
        <v>0</v>
      </c>
      <c r="V31" s="493">
        <f>ROUND(+('wgl tot'!Q31+'wgl tot'!S31+'wgl tot'!T31)*BM31,2)</f>
        <v>0</v>
      </c>
      <c r="W31" s="493">
        <f>+tabellen!$C$87*'wgl tot'!H31</f>
        <v>0</v>
      </c>
      <c r="X31" s="493">
        <f>VLOOKUP(BN31,eindejaarsuitkering_OOP,2,TRUE)*'wgl tot'!H31/12</f>
        <v>0</v>
      </c>
      <c r="Y31" s="493">
        <f>ROUND(IF(BO31="j",tabellen!$D$101*IF('wgl tot'!H31&gt;1,1,'wgl tot'!H31),0),2)</f>
        <v>0</v>
      </c>
      <c r="Z31" s="511">
        <f t="shared" si="9"/>
        <v>0</v>
      </c>
      <c r="AA31" s="338"/>
      <c r="AB31" s="339"/>
      <c r="AC31" s="492">
        <f t="shared" si="10"/>
        <v>0</v>
      </c>
      <c r="AD31" s="493">
        <f>ROUND(IF(L31="j",VLOOKUP(K31,bindingstoelage,2,FALSE))*IF('wgl tot'!H31&gt;1,1,'wgl tot'!H31),2)</f>
        <v>0</v>
      </c>
      <c r="AE31" s="493">
        <f>ROUND('wgl tot'!H31*tabellen!$D$99,2)</f>
        <v>0</v>
      </c>
      <c r="AF31" s="492">
        <f t="shared" si="11"/>
        <v>0</v>
      </c>
      <c r="AG31" s="336"/>
      <c r="AH31" s="492">
        <f t="shared" si="12"/>
        <v>0</v>
      </c>
      <c r="AI31" s="494">
        <f>IF('wgl tot'!E31&lt;1950,0,+('wgl tot'!Q31+'wgl tot'!S31+'wgl tot'!T31)*tabellen!$C$89)*12</f>
        <v>0</v>
      </c>
      <c r="AJ31" s="336"/>
      <c r="AK31" s="493">
        <f t="shared" si="1"/>
        <v>0</v>
      </c>
      <c r="AL31" s="493">
        <f>IF(F31="",0,(IF('wgl tot'!AH31/'wgl tot'!H31&lt;tabellen!$E$53,0,('wgl tot'!AH31-tabellen!$E$53*'wgl tot'!H31)/12)*tabellen!$C$53))</f>
        <v>0</v>
      </c>
      <c r="AM31" s="493">
        <f>IF(F31="",0,(IF('wgl tot'!AH31/'wgl tot'!H31&lt;tabellen!$E$54,0,(+'wgl tot'!AH31-tabellen!$E$54*'wgl tot'!H31)/12)*tabellen!$C$54))</f>
        <v>0</v>
      </c>
      <c r="AN31" s="493">
        <f>'wgl tot'!AH31/12*tabellen!$C$55</f>
        <v>0</v>
      </c>
      <c r="AO31" s="493">
        <f>IF(H31=0,0,IF(BU31&gt;tabellen!$G$56/12,tabellen!$G$56/12,BU31)*(tabellen!$C$56+tabellen!$C$57))</f>
        <v>0</v>
      </c>
      <c r="AP31" s="493">
        <f>IF(F31="",0,('wgl tot'!BV31))</f>
        <v>0</v>
      </c>
      <c r="AQ31" s="495">
        <f>IF(F31="",0,(IF('wgl tot'!BU31&gt;tabellen!$G$59*'wgl tot'!H31/12,tabellen!$G$59*'wgl tot'!H31/12,'wgl tot'!BU31)*tabellen!$C$59))</f>
        <v>0</v>
      </c>
      <c r="AR31" s="495">
        <f>IF(F31="",0,('wgl tot'!BU31*IF(N31=1,tabellen!$C$60,IF(N31=2,tabellen!C84,IF(N31=3,tabellen!$C$62,tabellen!$C$63)))))</f>
        <v>0</v>
      </c>
      <c r="AS31" s="495">
        <f>IF(F31="",0,('wgl tot'!BU31*tabellen!$C$64))</f>
        <v>0</v>
      </c>
      <c r="AT31" s="495">
        <f>+'wgl tot'!AI31/12</f>
        <v>0</v>
      </c>
      <c r="AU31" s="530">
        <v>0</v>
      </c>
      <c r="AV31" s="291">
        <f t="shared" si="2"/>
        <v>0</v>
      </c>
      <c r="AW31" s="515">
        <f t="shared" si="3"/>
        <v>0</v>
      </c>
      <c r="AX31" s="515">
        <f t="shared" si="13"/>
        <v>0</v>
      </c>
      <c r="AY31" s="336"/>
      <c r="AZ31" s="501" t="str">
        <f>IF(AW31=0,"",(+'wgl tot'!AW31/'wgl tot'!Q31-1))</f>
        <v/>
      </c>
      <c r="BA31" s="336"/>
      <c r="BB31" s="319"/>
      <c r="BE31" s="482">
        <f ca="1">YEAR('wgl tot'!$BE$10)-YEAR('wgl tot'!E31)</f>
        <v>118</v>
      </c>
      <c r="BF31" s="482">
        <f ca="1">MONTH('wgl tot'!$BE$10)-MONTH('wgl tot'!E31)</f>
        <v>0</v>
      </c>
      <c r="BG31" s="482">
        <f ca="1">DAY('wgl tot'!$BE$10)-DAY('wgl tot'!E31)</f>
        <v>3</v>
      </c>
      <c r="BH31" s="474">
        <f>IF(AND('wgl tot'!F31&gt;0,'wgl tot'!F31&lt;16),0,100)</f>
        <v>100</v>
      </c>
      <c r="BI31" s="474" t="e">
        <f>VLOOKUP('wgl tot'!F31,salaristabellen,22,FALSE)</f>
        <v>#N/A</v>
      </c>
      <c r="BJ31" s="474">
        <f t="shared" si="4"/>
        <v>0</v>
      </c>
      <c r="BK31" s="480">
        <v>42583</v>
      </c>
      <c r="BL31" s="483">
        <f t="shared" si="16"/>
        <v>0.08</v>
      </c>
      <c r="BM31" s="484">
        <f>+tabellen!$D$93</f>
        <v>6.3E-2</v>
      </c>
      <c r="BN31" s="482">
        <f>IF('wgl tot'!BH31=100,0,'wgl tot'!F31)</f>
        <v>0</v>
      </c>
      <c r="BO31" s="484" t="str">
        <f>IF(OR('wgl tot'!F31="DA",'wgl tot'!F31="DB",'wgl tot'!F31="DBuit",'wgl tot'!F31="DC",'wgl tot'!F31="DCuit",MID('wgl tot'!F31,1,5)="meerh"),"j","n")</f>
        <v>n</v>
      </c>
      <c r="BP31" s="485"/>
      <c r="BQ31" s="486" t="e">
        <f>IF('wgl tot'!AH31/'wgl tot'!H31&lt;tabellen!$E$53,0,(+'wgl tot'!AH31-tabellen!$E$53*'wgl tot'!H31)/12*tabellen!$D$53)</f>
        <v>#DIV/0!</v>
      </c>
      <c r="BR31" s="486" t="e">
        <f>IF('wgl tot'!AH31/'wgl tot'!H31&lt;tabellen!$E$54,0,(+'wgl tot'!AH31-tabellen!$E$54*'wgl tot'!H31)/12*tabellen!$D$54)</f>
        <v>#DIV/0!</v>
      </c>
      <c r="BS31" s="486">
        <f>'wgl tot'!AH31/12*tabellen!$D$55</f>
        <v>0</v>
      </c>
      <c r="BT31" s="487" t="e">
        <f t="shared" si="17"/>
        <v>#DIV/0!</v>
      </c>
      <c r="BU31" s="488" t="e">
        <f>+('wgl tot'!AF31+'wgl tot'!AI31)/12-'wgl tot'!BT31</f>
        <v>#DIV/0!</v>
      </c>
      <c r="BV31" s="488" t="e">
        <f>ROUND(IF('wgl tot'!BU31&gt;tabellen!$H$58,tabellen!$H$58,'wgl tot'!BU31)*tabellen!$C$58,2)</f>
        <v>#DIV/0!</v>
      </c>
      <c r="BW31" s="488" t="e">
        <f>+'wgl tot'!BU31+'wgl tot'!BV31</f>
        <v>#DIV/0!</v>
      </c>
      <c r="BX31" s="489">
        <f t="shared" si="6"/>
        <v>1900</v>
      </c>
      <c r="BY31" s="489">
        <f t="shared" si="7"/>
        <v>1</v>
      </c>
      <c r="BZ31" s="482">
        <f t="shared" si="8"/>
        <v>0</v>
      </c>
      <c r="CA31" s="480">
        <f t="shared" si="14"/>
        <v>22462</v>
      </c>
      <c r="CB31" s="480">
        <f t="shared" ca="1" si="15"/>
        <v>43103.670106134261</v>
      </c>
      <c r="CC31" s="474"/>
      <c r="CD31" s="480"/>
      <c r="CE31" s="474"/>
      <c r="CF31" s="485"/>
      <c r="CG31" s="485"/>
      <c r="CH31" s="485"/>
      <c r="CI31" s="485"/>
      <c r="CJ31" s="485"/>
      <c r="CK31" s="485"/>
    </row>
    <row r="32" spans="2:89" ht="13.5" customHeight="1" x14ac:dyDescent="0.2">
      <c r="B32" s="318"/>
      <c r="C32" s="336"/>
      <c r="D32" s="286"/>
      <c r="E32" s="287"/>
      <c r="F32" s="374"/>
      <c r="G32" s="288"/>
      <c r="H32" s="289"/>
      <c r="I32" s="288"/>
      <c r="J32" s="288"/>
      <c r="K32" s="288"/>
      <c r="L32" s="288"/>
      <c r="M32" s="288"/>
      <c r="N32" s="290"/>
      <c r="O32" s="336"/>
      <c r="P32" s="499">
        <f>IF(F32="",0,(VLOOKUP('wgl tot'!F32,salaristabellen,'wgl tot'!G32+1,FALSE)))</f>
        <v>0</v>
      </c>
      <c r="Q32" s="518">
        <f t="shared" si="0"/>
        <v>0</v>
      </c>
      <c r="R32" s="336"/>
      <c r="S32" s="493">
        <f>ROUND(IF(I32="j",VLOOKUP(BJ32,uitlooptoeslag,2,FALSE))*IF('wgl tot'!H32&gt;1,1,'wgl tot'!H32),2)</f>
        <v>0</v>
      </c>
      <c r="T32" s="493">
        <f>ROUND(IF(OR('wgl tot'!F32="LA",'wgl tot'!F32="LB"),IF(J32="j",tabellen!$C$79*'wgl tot'!H32,0),0),2)</f>
        <v>0</v>
      </c>
      <c r="U32" s="493">
        <f>ROUND(IF(('wgl tot'!Q32+'wgl tot'!S32+'wgl tot'!T32)*BL32&lt;'wgl tot'!H32*tabellen!$D$92,'wgl tot'!H32*tabellen!$D$92,('wgl tot'!Q32+'wgl tot'!S32+'wgl tot'!T32)*BL32),2)</f>
        <v>0</v>
      </c>
      <c r="V32" s="493">
        <f>ROUND(+('wgl tot'!Q32+'wgl tot'!S32+'wgl tot'!T32)*BM32,2)</f>
        <v>0</v>
      </c>
      <c r="W32" s="493">
        <f>+tabellen!$C$87*'wgl tot'!H32</f>
        <v>0</v>
      </c>
      <c r="X32" s="493">
        <f>VLOOKUP(BN32,eindejaarsuitkering_OOP,2,TRUE)*'wgl tot'!H32/12</f>
        <v>0</v>
      </c>
      <c r="Y32" s="493">
        <f>ROUND(IF(BO32="j",tabellen!$D$101*IF('wgl tot'!H32&gt;1,1,'wgl tot'!H32),0),2)</f>
        <v>0</v>
      </c>
      <c r="Z32" s="511">
        <f t="shared" si="9"/>
        <v>0</v>
      </c>
      <c r="AA32" s="338"/>
      <c r="AB32" s="339"/>
      <c r="AC32" s="492">
        <f t="shared" si="10"/>
        <v>0</v>
      </c>
      <c r="AD32" s="493">
        <f>ROUND(IF(L32="j",VLOOKUP(K32,bindingstoelage,2,FALSE))*IF('wgl tot'!H32&gt;1,1,'wgl tot'!H32),2)</f>
        <v>0</v>
      </c>
      <c r="AE32" s="493">
        <f>ROUND('wgl tot'!H32*tabellen!$D$99,2)</f>
        <v>0</v>
      </c>
      <c r="AF32" s="492">
        <f t="shared" si="11"/>
        <v>0</v>
      </c>
      <c r="AG32" s="336"/>
      <c r="AH32" s="492">
        <f t="shared" si="12"/>
        <v>0</v>
      </c>
      <c r="AI32" s="494">
        <f>IF('wgl tot'!E32&lt;1950,0,+('wgl tot'!Q32+'wgl tot'!S32+'wgl tot'!T32)*tabellen!$C$89)*12</f>
        <v>0</v>
      </c>
      <c r="AJ32" s="336"/>
      <c r="AK32" s="493">
        <f t="shared" si="1"/>
        <v>0</v>
      </c>
      <c r="AL32" s="493">
        <f>IF(F32="",0,(IF('wgl tot'!AH32/'wgl tot'!H32&lt;tabellen!$E$53,0,('wgl tot'!AH32-tabellen!$E$53*'wgl tot'!H32)/12)*tabellen!$C$53))</f>
        <v>0</v>
      </c>
      <c r="AM32" s="493">
        <f>IF(F32="",0,(IF('wgl tot'!AH32/'wgl tot'!H32&lt;tabellen!$E$54,0,(+'wgl tot'!AH32-tabellen!$E$54*'wgl tot'!H32)/12)*tabellen!$C$54))</f>
        <v>0</v>
      </c>
      <c r="AN32" s="493">
        <f>'wgl tot'!AH32/12*tabellen!$C$55</f>
        <v>0</v>
      </c>
      <c r="AO32" s="493">
        <f>IF(H32=0,0,IF(BU32&gt;tabellen!$G$56/12,tabellen!$G$56/12,BU32)*(tabellen!$C$56+tabellen!$C$57))</f>
        <v>0</v>
      </c>
      <c r="AP32" s="493">
        <f>IF(F32="",0,('wgl tot'!BV32))</f>
        <v>0</v>
      </c>
      <c r="AQ32" s="495">
        <f>IF(F32="",0,(IF('wgl tot'!BU32&gt;tabellen!$G$59*'wgl tot'!H32/12,tabellen!$G$59*'wgl tot'!H32/12,'wgl tot'!BU32)*tabellen!$C$59))</f>
        <v>0</v>
      </c>
      <c r="AR32" s="495">
        <f>IF(F32="",0,('wgl tot'!BU32*IF(N32=1,tabellen!$C$60,IF(N32=2,tabellen!C85,IF(N32=3,tabellen!$C$62,tabellen!$C$63)))))</f>
        <v>0</v>
      </c>
      <c r="AS32" s="495">
        <f>IF(F32="",0,('wgl tot'!BU32*tabellen!$C$64))</f>
        <v>0</v>
      </c>
      <c r="AT32" s="495">
        <f>+'wgl tot'!AI32/12</f>
        <v>0</v>
      </c>
      <c r="AU32" s="530">
        <v>0</v>
      </c>
      <c r="AV32" s="291">
        <f t="shared" si="2"/>
        <v>0</v>
      </c>
      <c r="AW32" s="515">
        <f t="shared" si="3"/>
        <v>0</v>
      </c>
      <c r="AX32" s="515">
        <f t="shared" si="13"/>
        <v>0</v>
      </c>
      <c r="AY32" s="336"/>
      <c r="AZ32" s="501" t="str">
        <f>IF(AW32=0,"",(+'wgl tot'!AW32/'wgl tot'!Q32-1))</f>
        <v/>
      </c>
      <c r="BA32" s="336"/>
      <c r="BB32" s="319"/>
      <c r="BE32" s="482">
        <f ca="1">YEAR('wgl tot'!$BE$10)-YEAR('wgl tot'!E32)</f>
        <v>118</v>
      </c>
      <c r="BF32" s="482">
        <f ca="1">MONTH('wgl tot'!$BE$10)-MONTH('wgl tot'!E32)</f>
        <v>0</v>
      </c>
      <c r="BG32" s="482">
        <f ca="1">DAY('wgl tot'!$BE$10)-DAY('wgl tot'!E32)</f>
        <v>3</v>
      </c>
      <c r="BH32" s="474">
        <f>IF(AND('wgl tot'!F32&gt;0,'wgl tot'!F32&lt;16),0,100)</f>
        <v>100</v>
      </c>
      <c r="BI32" s="474" t="e">
        <f>VLOOKUP('wgl tot'!F32,salaristabellen,22,FALSE)</f>
        <v>#N/A</v>
      </c>
      <c r="BJ32" s="474">
        <f t="shared" si="4"/>
        <v>0</v>
      </c>
      <c r="BK32" s="480">
        <v>42583</v>
      </c>
      <c r="BL32" s="483">
        <f t="shared" si="16"/>
        <v>0.08</v>
      </c>
      <c r="BM32" s="484">
        <f>+tabellen!$D$93</f>
        <v>6.3E-2</v>
      </c>
      <c r="BN32" s="482">
        <f>IF('wgl tot'!BH32=100,0,'wgl tot'!F32)</f>
        <v>0</v>
      </c>
      <c r="BO32" s="484" t="str">
        <f>IF(OR('wgl tot'!F32="DA",'wgl tot'!F32="DB",'wgl tot'!F32="DBuit",'wgl tot'!F32="DC",'wgl tot'!F32="DCuit",MID('wgl tot'!F32,1,5)="meerh"),"j","n")</f>
        <v>n</v>
      </c>
      <c r="BP32" s="485"/>
      <c r="BQ32" s="486" t="e">
        <f>IF('wgl tot'!AH32/'wgl tot'!H32&lt;tabellen!$E$53,0,(+'wgl tot'!AH32-tabellen!$E$53*'wgl tot'!H32)/12*tabellen!$D$53)</f>
        <v>#DIV/0!</v>
      </c>
      <c r="BR32" s="486" t="e">
        <f>IF('wgl tot'!AH32/'wgl tot'!H32&lt;tabellen!$E$54,0,(+'wgl tot'!AH32-tabellen!$E$54*'wgl tot'!H32)/12*tabellen!$D$54)</f>
        <v>#DIV/0!</v>
      </c>
      <c r="BS32" s="486">
        <f>'wgl tot'!AH32/12*tabellen!$D$55</f>
        <v>0</v>
      </c>
      <c r="BT32" s="487" t="e">
        <f t="shared" si="17"/>
        <v>#DIV/0!</v>
      </c>
      <c r="BU32" s="488" t="e">
        <f>+('wgl tot'!AF32+'wgl tot'!AI32)/12-'wgl tot'!BT32</f>
        <v>#DIV/0!</v>
      </c>
      <c r="BV32" s="488" t="e">
        <f>ROUND(IF('wgl tot'!BU32&gt;tabellen!$H$58,tabellen!$H$58,'wgl tot'!BU32)*tabellen!$C$58,2)</f>
        <v>#DIV/0!</v>
      </c>
      <c r="BW32" s="488" t="e">
        <f>+'wgl tot'!BU32+'wgl tot'!BV32</f>
        <v>#DIV/0!</v>
      </c>
      <c r="BX32" s="489">
        <f t="shared" si="6"/>
        <v>1900</v>
      </c>
      <c r="BY32" s="489">
        <f t="shared" si="7"/>
        <v>1</v>
      </c>
      <c r="BZ32" s="482">
        <f t="shared" si="8"/>
        <v>0</v>
      </c>
      <c r="CA32" s="480">
        <f t="shared" si="14"/>
        <v>22462</v>
      </c>
      <c r="CB32" s="480">
        <f t="shared" ca="1" si="15"/>
        <v>43103.670106134261</v>
      </c>
      <c r="CC32" s="474"/>
      <c r="CD32" s="480"/>
      <c r="CE32" s="474"/>
      <c r="CF32" s="485"/>
      <c r="CG32" s="485"/>
      <c r="CH32" s="485"/>
      <c r="CI32" s="485"/>
      <c r="CJ32" s="485"/>
      <c r="CK32" s="485"/>
    </row>
    <row r="33" spans="2:89" ht="13.5" customHeight="1" x14ac:dyDescent="0.2">
      <c r="B33" s="318"/>
      <c r="C33" s="336"/>
      <c r="D33" s="286"/>
      <c r="E33" s="287"/>
      <c r="F33" s="374"/>
      <c r="G33" s="288"/>
      <c r="H33" s="289"/>
      <c r="I33" s="288"/>
      <c r="J33" s="288"/>
      <c r="K33" s="288"/>
      <c r="L33" s="288"/>
      <c r="M33" s="288"/>
      <c r="N33" s="290"/>
      <c r="O33" s="336"/>
      <c r="P33" s="499">
        <f>IF(F33="",0,(VLOOKUP('wgl tot'!F33,salaristabellen,'wgl tot'!G33+1,FALSE)))</f>
        <v>0</v>
      </c>
      <c r="Q33" s="518">
        <f t="shared" si="0"/>
        <v>0</v>
      </c>
      <c r="R33" s="336"/>
      <c r="S33" s="493">
        <f>ROUND(IF(I33="j",VLOOKUP(BJ33,uitlooptoeslag,2,FALSE))*IF('wgl tot'!H33&gt;1,1,'wgl tot'!H33),2)</f>
        <v>0</v>
      </c>
      <c r="T33" s="493">
        <f>ROUND(IF(OR('wgl tot'!F33="LA",'wgl tot'!F33="LB"),IF(J33="j",tabellen!$C$79*'wgl tot'!H33,0),0),2)</f>
        <v>0</v>
      </c>
      <c r="U33" s="493">
        <f>ROUND(IF(('wgl tot'!Q33+'wgl tot'!S33+'wgl tot'!T33)*BL33&lt;'wgl tot'!H33*tabellen!$D$92,'wgl tot'!H33*tabellen!$D$92,('wgl tot'!Q33+'wgl tot'!S33+'wgl tot'!T33)*BL33),2)</f>
        <v>0</v>
      </c>
      <c r="V33" s="493">
        <f>ROUND(+('wgl tot'!Q33+'wgl tot'!S33+'wgl tot'!T33)*BM33,2)</f>
        <v>0</v>
      </c>
      <c r="W33" s="493">
        <f>+tabellen!$C$87*'wgl tot'!H33</f>
        <v>0</v>
      </c>
      <c r="X33" s="493">
        <f>VLOOKUP(BN33,eindejaarsuitkering_OOP,2,TRUE)*'wgl tot'!H33/12</f>
        <v>0</v>
      </c>
      <c r="Y33" s="493">
        <f>ROUND(IF(BO33="j",tabellen!$D$101*IF('wgl tot'!H33&gt;1,1,'wgl tot'!H33),0),2)</f>
        <v>0</v>
      </c>
      <c r="Z33" s="511">
        <f t="shared" si="9"/>
        <v>0</v>
      </c>
      <c r="AA33" s="338"/>
      <c r="AB33" s="339"/>
      <c r="AC33" s="492">
        <f t="shared" si="10"/>
        <v>0</v>
      </c>
      <c r="AD33" s="493">
        <f>ROUND(IF(L33="j",VLOOKUP(K33,bindingstoelage,2,FALSE))*IF('wgl tot'!H33&gt;1,1,'wgl tot'!H33),2)</f>
        <v>0</v>
      </c>
      <c r="AE33" s="493">
        <f>ROUND('wgl tot'!H33*tabellen!$D$99,2)</f>
        <v>0</v>
      </c>
      <c r="AF33" s="492">
        <f t="shared" si="11"/>
        <v>0</v>
      </c>
      <c r="AG33" s="336"/>
      <c r="AH33" s="492">
        <f t="shared" si="12"/>
        <v>0</v>
      </c>
      <c r="AI33" s="494">
        <f>IF('wgl tot'!E33&lt;1950,0,+('wgl tot'!Q33+'wgl tot'!S33+'wgl tot'!T33)*tabellen!$C$89)*12</f>
        <v>0</v>
      </c>
      <c r="AJ33" s="336"/>
      <c r="AK33" s="493">
        <f t="shared" si="1"/>
        <v>0</v>
      </c>
      <c r="AL33" s="493">
        <f>IF(F33="",0,(IF('wgl tot'!AH33/'wgl tot'!H33&lt;tabellen!$E$53,0,('wgl tot'!AH33-tabellen!$E$53*'wgl tot'!H33)/12)*tabellen!$C$53))</f>
        <v>0</v>
      </c>
      <c r="AM33" s="493">
        <f>IF(F33="",0,(IF('wgl tot'!AH33/'wgl tot'!H33&lt;tabellen!$E$54,0,(+'wgl tot'!AH33-tabellen!$E$54*'wgl tot'!H33)/12)*tabellen!$C$54))</f>
        <v>0</v>
      </c>
      <c r="AN33" s="493">
        <f>'wgl tot'!AH33/12*tabellen!$C$55</f>
        <v>0</v>
      </c>
      <c r="AO33" s="493">
        <f>IF(H33=0,0,IF(BU33&gt;tabellen!$G$56/12,tabellen!$G$56/12,BU33)*(tabellen!$C$56+tabellen!$C$57))</f>
        <v>0</v>
      </c>
      <c r="AP33" s="493">
        <f>IF(F33="",0,('wgl tot'!BV33))</f>
        <v>0</v>
      </c>
      <c r="AQ33" s="495">
        <f>IF(F33="",0,(IF('wgl tot'!BU33&gt;tabellen!$G$59*'wgl tot'!H33/12,tabellen!$G$59*'wgl tot'!H33/12,'wgl tot'!BU33)*tabellen!$C$59))</f>
        <v>0</v>
      </c>
      <c r="AR33" s="495">
        <f>IF(F33="",0,('wgl tot'!BU33*IF(N33=1,tabellen!$C$60,IF(N33=2,tabellen!C86,IF(N33=3,tabellen!$C$62,tabellen!$C$63)))))</f>
        <v>0</v>
      </c>
      <c r="AS33" s="495">
        <f>IF(F33="",0,('wgl tot'!BU33*tabellen!$C$64))</f>
        <v>0</v>
      </c>
      <c r="AT33" s="495">
        <f>+'wgl tot'!AI33/12</f>
        <v>0</v>
      </c>
      <c r="AU33" s="530">
        <v>0</v>
      </c>
      <c r="AV33" s="291">
        <f t="shared" si="2"/>
        <v>0</v>
      </c>
      <c r="AW33" s="515">
        <f t="shared" si="3"/>
        <v>0</v>
      </c>
      <c r="AX33" s="515">
        <f t="shared" si="13"/>
        <v>0</v>
      </c>
      <c r="AY33" s="336"/>
      <c r="AZ33" s="501" t="str">
        <f>IF(AW33=0,"",(+'wgl tot'!AW33/'wgl tot'!Q33-1))</f>
        <v/>
      </c>
      <c r="BA33" s="336"/>
      <c r="BB33" s="319"/>
      <c r="BE33" s="482">
        <f ca="1">YEAR('wgl tot'!$BE$10)-YEAR('wgl tot'!E33)</f>
        <v>118</v>
      </c>
      <c r="BF33" s="482">
        <f ca="1">MONTH('wgl tot'!$BE$10)-MONTH('wgl tot'!E33)</f>
        <v>0</v>
      </c>
      <c r="BG33" s="482">
        <f ca="1">DAY('wgl tot'!$BE$10)-DAY('wgl tot'!E33)</f>
        <v>3</v>
      </c>
      <c r="BH33" s="474">
        <f>IF(AND('wgl tot'!F33&gt;0,'wgl tot'!F33&lt;16),0,100)</f>
        <v>100</v>
      </c>
      <c r="BI33" s="474" t="e">
        <f>VLOOKUP('wgl tot'!F33,salaristabellen,22,FALSE)</f>
        <v>#N/A</v>
      </c>
      <c r="BJ33" s="474">
        <f t="shared" si="4"/>
        <v>0</v>
      </c>
      <c r="BK33" s="480">
        <v>42583</v>
      </c>
      <c r="BL33" s="483">
        <f t="shared" si="16"/>
        <v>0.08</v>
      </c>
      <c r="BM33" s="484">
        <f>+tabellen!$D$93</f>
        <v>6.3E-2</v>
      </c>
      <c r="BN33" s="482">
        <f>IF('wgl tot'!BH33=100,0,'wgl tot'!F33)</f>
        <v>0</v>
      </c>
      <c r="BO33" s="484" t="str">
        <f>IF(OR('wgl tot'!F33="DA",'wgl tot'!F33="DB",'wgl tot'!F33="DBuit",'wgl tot'!F33="DC",'wgl tot'!F33="DCuit",MID('wgl tot'!F33,1,5)="meerh"),"j","n")</f>
        <v>n</v>
      </c>
      <c r="BP33" s="485"/>
      <c r="BQ33" s="486" t="e">
        <f>IF('wgl tot'!AH33/'wgl tot'!H33&lt;tabellen!$E$53,0,(+'wgl tot'!AH33-tabellen!$E$53*'wgl tot'!H33)/12*tabellen!$D$53)</f>
        <v>#DIV/0!</v>
      </c>
      <c r="BR33" s="486" t="e">
        <f>IF('wgl tot'!AH33/'wgl tot'!H33&lt;tabellen!$E$54,0,(+'wgl tot'!AH33-tabellen!$E$54*'wgl tot'!H33)/12*tabellen!$D$54)</f>
        <v>#DIV/0!</v>
      </c>
      <c r="BS33" s="486">
        <f>'wgl tot'!AH33/12*tabellen!$D$55</f>
        <v>0</v>
      </c>
      <c r="BT33" s="487" t="e">
        <f t="shared" si="17"/>
        <v>#DIV/0!</v>
      </c>
      <c r="BU33" s="488" t="e">
        <f>+('wgl tot'!AF33+'wgl tot'!AI33)/12-'wgl tot'!BT33</f>
        <v>#DIV/0!</v>
      </c>
      <c r="BV33" s="488" t="e">
        <f>ROUND(IF('wgl tot'!BU33&gt;tabellen!$H$58,tabellen!$H$58,'wgl tot'!BU33)*tabellen!$C$58,2)</f>
        <v>#DIV/0!</v>
      </c>
      <c r="BW33" s="488" t="e">
        <f>+'wgl tot'!BU33+'wgl tot'!BV33</f>
        <v>#DIV/0!</v>
      </c>
      <c r="BX33" s="489">
        <f t="shared" si="6"/>
        <v>1900</v>
      </c>
      <c r="BY33" s="489">
        <f t="shared" si="7"/>
        <v>1</v>
      </c>
      <c r="BZ33" s="482">
        <f t="shared" si="8"/>
        <v>0</v>
      </c>
      <c r="CA33" s="480">
        <f t="shared" si="14"/>
        <v>22462</v>
      </c>
      <c r="CB33" s="480">
        <f t="shared" ca="1" si="15"/>
        <v>43103.670106134261</v>
      </c>
      <c r="CC33" s="474"/>
      <c r="CD33" s="480"/>
      <c r="CE33" s="474"/>
      <c r="CF33" s="485"/>
      <c r="CG33" s="485"/>
      <c r="CH33" s="485"/>
      <c r="CI33" s="485"/>
      <c r="CJ33" s="485"/>
      <c r="CK33" s="485"/>
    </row>
    <row r="34" spans="2:89" ht="13.5" customHeight="1" x14ac:dyDescent="0.2">
      <c r="B34" s="318"/>
      <c r="C34" s="336"/>
      <c r="D34" s="286"/>
      <c r="E34" s="287"/>
      <c r="F34" s="374"/>
      <c r="G34" s="288"/>
      <c r="H34" s="289"/>
      <c r="I34" s="288"/>
      <c r="J34" s="288"/>
      <c r="K34" s="288"/>
      <c r="L34" s="288"/>
      <c r="M34" s="288"/>
      <c r="N34" s="290"/>
      <c r="O34" s="336"/>
      <c r="P34" s="499">
        <f>IF(F34="",0,(VLOOKUP('wgl tot'!F34,salaristabellen,'wgl tot'!G34+1,FALSE)))</f>
        <v>0</v>
      </c>
      <c r="Q34" s="518">
        <f t="shared" si="0"/>
        <v>0</v>
      </c>
      <c r="R34" s="336"/>
      <c r="S34" s="493">
        <f>ROUND(IF(I34="j",VLOOKUP(BJ34,uitlooptoeslag,2,FALSE))*IF('wgl tot'!H34&gt;1,1,'wgl tot'!H34),2)</f>
        <v>0</v>
      </c>
      <c r="T34" s="493">
        <f>ROUND(IF(OR('wgl tot'!F34="LA",'wgl tot'!F34="LB"),IF(J34="j",tabellen!$C$79*'wgl tot'!H34,0),0),2)</f>
        <v>0</v>
      </c>
      <c r="U34" s="493">
        <f>ROUND(IF(('wgl tot'!Q34+'wgl tot'!S34+'wgl tot'!T34)*BL34&lt;'wgl tot'!H34*tabellen!$D$92,'wgl tot'!H34*tabellen!$D$92,('wgl tot'!Q34+'wgl tot'!S34+'wgl tot'!T34)*BL34),2)</f>
        <v>0</v>
      </c>
      <c r="V34" s="493">
        <f>ROUND(+('wgl tot'!Q34+'wgl tot'!S34+'wgl tot'!T34)*BM34,2)</f>
        <v>0</v>
      </c>
      <c r="W34" s="493">
        <f>+tabellen!$C$87*'wgl tot'!H34</f>
        <v>0</v>
      </c>
      <c r="X34" s="493">
        <f>VLOOKUP(BN34,eindejaarsuitkering_OOP,2,TRUE)*'wgl tot'!H34/12</f>
        <v>0</v>
      </c>
      <c r="Y34" s="493">
        <f>ROUND(IF(BO34="j",tabellen!$D$101*IF('wgl tot'!H34&gt;1,1,'wgl tot'!H34),0),2)</f>
        <v>0</v>
      </c>
      <c r="Z34" s="511">
        <f t="shared" si="9"/>
        <v>0</v>
      </c>
      <c r="AA34" s="338"/>
      <c r="AB34" s="339"/>
      <c r="AC34" s="492">
        <f t="shared" si="10"/>
        <v>0</v>
      </c>
      <c r="AD34" s="493">
        <f>ROUND(IF(L34="j",VLOOKUP(K34,bindingstoelage,2,FALSE))*IF('wgl tot'!H34&gt;1,1,'wgl tot'!H34),2)</f>
        <v>0</v>
      </c>
      <c r="AE34" s="493">
        <f>ROUND('wgl tot'!H34*tabellen!$D$99,2)</f>
        <v>0</v>
      </c>
      <c r="AF34" s="492">
        <f t="shared" si="11"/>
        <v>0</v>
      </c>
      <c r="AG34" s="336"/>
      <c r="AH34" s="492">
        <f t="shared" si="12"/>
        <v>0</v>
      </c>
      <c r="AI34" s="494">
        <f>IF('wgl tot'!E34&lt;1950,0,+('wgl tot'!Q34+'wgl tot'!S34+'wgl tot'!T34)*tabellen!$C$89)*12</f>
        <v>0</v>
      </c>
      <c r="AJ34" s="336"/>
      <c r="AK34" s="493">
        <f t="shared" si="1"/>
        <v>0</v>
      </c>
      <c r="AL34" s="493">
        <f>IF(F34="",0,(IF('wgl tot'!AH34/'wgl tot'!H34&lt;tabellen!$E$53,0,('wgl tot'!AH34-tabellen!$E$53*'wgl tot'!H34)/12)*tabellen!$C$53))</f>
        <v>0</v>
      </c>
      <c r="AM34" s="493">
        <f>IF(F34="",0,(IF('wgl tot'!AH34/'wgl tot'!H34&lt;tabellen!$E$54,0,(+'wgl tot'!AH34-tabellen!$E$54*'wgl tot'!H34)/12)*tabellen!$C$54))</f>
        <v>0</v>
      </c>
      <c r="AN34" s="493">
        <f>'wgl tot'!AH34/12*tabellen!$C$55</f>
        <v>0</v>
      </c>
      <c r="AO34" s="493">
        <f>IF(H34=0,0,IF(BU34&gt;tabellen!$G$56/12,tabellen!$G$56/12,BU34)*(tabellen!$C$56+tabellen!$C$57))</f>
        <v>0</v>
      </c>
      <c r="AP34" s="493">
        <f>IF(F34="",0,('wgl tot'!BV34))</f>
        <v>0</v>
      </c>
      <c r="AQ34" s="495">
        <f>IF(F34="",0,(IF('wgl tot'!BU34&gt;tabellen!$G$59*'wgl tot'!H34/12,tabellen!$G$59*'wgl tot'!H34/12,'wgl tot'!BU34)*tabellen!$C$59))</f>
        <v>0</v>
      </c>
      <c r="AR34" s="495">
        <f>IF(F34="",0,('wgl tot'!BU34*IF(N34=1,tabellen!$C$60,IF(N34=2,tabellen!C87,IF(N34=3,tabellen!$C$62,tabellen!$C$63)))))</f>
        <v>0</v>
      </c>
      <c r="AS34" s="495">
        <f>IF(F34="",0,('wgl tot'!BU34*tabellen!$C$64))</f>
        <v>0</v>
      </c>
      <c r="AT34" s="495">
        <f>+'wgl tot'!AI34/12</f>
        <v>0</v>
      </c>
      <c r="AU34" s="530">
        <v>0</v>
      </c>
      <c r="AV34" s="291">
        <f t="shared" si="2"/>
        <v>0</v>
      </c>
      <c r="AW34" s="515">
        <f t="shared" si="3"/>
        <v>0</v>
      </c>
      <c r="AX34" s="515">
        <f t="shared" si="13"/>
        <v>0</v>
      </c>
      <c r="AY34" s="336"/>
      <c r="AZ34" s="501" t="str">
        <f>IF(AW34=0,"",(+'wgl tot'!AW34/'wgl tot'!Q34-1))</f>
        <v/>
      </c>
      <c r="BA34" s="336"/>
      <c r="BB34" s="319"/>
      <c r="BE34" s="482">
        <f ca="1">YEAR('wgl tot'!$BE$10)-YEAR('wgl tot'!E34)</f>
        <v>118</v>
      </c>
      <c r="BF34" s="482">
        <f ca="1">MONTH('wgl tot'!$BE$10)-MONTH('wgl tot'!E34)</f>
        <v>0</v>
      </c>
      <c r="BG34" s="482">
        <f ca="1">DAY('wgl tot'!$BE$10)-DAY('wgl tot'!E34)</f>
        <v>3</v>
      </c>
      <c r="BH34" s="474">
        <f>IF(AND('wgl tot'!F34&gt;0,'wgl tot'!F34&lt;16),0,100)</f>
        <v>100</v>
      </c>
      <c r="BI34" s="474" t="e">
        <f>VLOOKUP('wgl tot'!F34,salaristabellen,22,FALSE)</f>
        <v>#N/A</v>
      </c>
      <c r="BJ34" s="474">
        <f t="shared" si="4"/>
        <v>0</v>
      </c>
      <c r="BK34" s="480">
        <v>42583</v>
      </c>
      <c r="BL34" s="483">
        <f t="shared" si="16"/>
        <v>0.08</v>
      </c>
      <c r="BM34" s="484">
        <f>+tabellen!$D$93</f>
        <v>6.3E-2</v>
      </c>
      <c r="BN34" s="482">
        <f>IF('wgl tot'!BH34=100,0,'wgl tot'!F34)</f>
        <v>0</v>
      </c>
      <c r="BO34" s="484" t="str">
        <f>IF(OR('wgl tot'!F34="DA",'wgl tot'!F34="DB",'wgl tot'!F34="DBuit",'wgl tot'!F34="DC",'wgl tot'!F34="DCuit",MID('wgl tot'!F34,1,5)="meerh"),"j","n")</f>
        <v>n</v>
      </c>
      <c r="BP34" s="485"/>
      <c r="BQ34" s="486" t="e">
        <f>IF('wgl tot'!AH34/'wgl tot'!H34&lt;tabellen!$E$53,0,(+'wgl tot'!AH34-tabellen!$E$53*'wgl tot'!H34)/12*tabellen!$D$53)</f>
        <v>#DIV/0!</v>
      </c>
      <c r="BR34" s="486" t="e">
        <f>IF('wgl tot'!AH34/'wgl tot'!H34&lt;tabellen!$E$54,0,(+'wgl tot'!AH34-tabellen!$E$54*'wgl tot'!H34)/12*tabellen!$D$54)</f>
        <v>#DIV/0!</v>
      </c>
      <c r="BS34" s="486">
        <f>'wgl tot'!AH34/12*tabellen!$D$55</f>
        <v>0</v>
      </c>
      <c r="BT34" s="487" t="e">
        <f t="shared" si="17"/>
        <v>#DIV/0!</v>
      </c>
      <c r="BU34" s="488" t="e">
        <f>+('wgl tot'!AF34+'wgl tot'!AI34)/12-'wgl tot'!BT34</f>
        <v>#DIV/0!</v>
      </c>
      <c r="BV34" s="488" t="e">
        <f>ROUND(IF('wgl tot'!BU34&gt;tabellen!$H$58,tabellen!$H$58,'wgl tot'!BU34)*tabellen!$C$58,2)</f>
        <v>#DIV/0!</v>
      </c>
      <c r="BW34" s="488" t="e">
        <f>+'wgl tot'!BU34+'wgl tot'!BV34</f>
        <v>#DIV/0!</v>
      </c>
      <c r="BX34" s="489">
        <f t="shared" si="6"/>
        <v>1900</v>
      </c>
      <c r="BY34" s="489">
        <f t="shared" si="7"/>
        <v>1</v>
      </c>
      <c r="BZ34" s="482">
        <f t="shared" si="8"/>
        <v>0</v>
      </c>
      <c r="CA34" s="480">
        <f t="shared" si="14"/>
        <v>22462</v>
      </c>
      <c r="CB34" s="480">
        <f t="shared" ca="1" si="15"/>
        <v>43103.670106134261</v>
      </c>
      <c r="CC34" s="474"/>
      <c r="CD34" s="480"/>
      <c r="CE34" s="474"/>
      <c r="CF34" s="485"/>
      <c r="CG34" s="485"/>
      <c r="CH34" s="485"/>
      <c r="CI34" s="485"/>
      <c r="CJ34" s="485"/>
      <c r="CK34" s="485"/>
    </row>
    <row r="35" spans="2:89" ht="13.5" customHeight="1" x14ac:dyDescent="0.2">
      <c r="B35" s="318"/>
      <c r="C35" s="336"/>
      <c r="D35" s="286"/>
      <c r="E35" s="287"/>
      <c r="F35" s="374"/>
      <c r="G35" s="288"/>
      <c r="H35" s="289"/>
      <c r="I35" s="288"/>
      <c r="J35" s="288"/>
      <c r="K35" s="288"/>
      <c r="L35" s="288"/>
      <c r="M35" s="288"/>
      <c r="N35" s="290"/>
      <c r="O35" s="336"/>
      <c r="P35" s="499">
        <f>IF(F35="",0,(VLOOKUP('wgl tot'!F35,salaristabellen,'wgl tot'!G35+1,FALSE)))</f>
        <v>0</v>
      </c>
      <c r="Q35" s="518">
        <f t="shared" si="0"/>
        <v>0</v>
      </c>
      <c r="R35" s="336"/>
      <c r="S35" s="493">
        <f>ROUND(IF(I35="j",VLOOKUP(BJ35,uitlooptoeslag,2,FALSE))*IF('wgl tot'!H35&gt;1,1,'wgl tot'!H35),2)</f>
        <v>0</v>
      </c>
      <c r="T35" s="493">
        <f>ROUND(IF(OR('wgl tot'!F35="LA",'wgl tot'!F35="LB"),IF(J35="j",tabellen!$C$79*'wgl tot'!H35,0),0),2)</f>
        <v>0</v>
      </c>
      <c r="U35" s="493">
        <f>ROUND(IF(('wgl tot'!Q35+'wgl tot'!S35+'wgl tot'!T35)*BL35&lt;'wgl tot'!H35*tabellen!$D$92,'wgl tot'!H35*tabellen!$D$92,('wgl tot'!Q35+'wgl tot'!S35+'wgl tot'!T35)*BL35),2)</f>
        <v>0</v>
      </c>
      <c r="V35" s="493">
        <f>ROUND(+('wgl tot'!Q35+'wgl tot'!S35+'wgl tot'!T35)*BM35,2)</f>
        <v>0</v>
      </c>
      <c r="W35" s="493">
        <f>+tabellen!$C$87*'wgl tot'!H35</f>
        <v>0</v>
      </c>
      <c r="X35" s="493">
        <f>VLOOKUP(BN35,eindejaarsuitkering_OOP,2,TRUE)*'wgl tot'!H35/12</f>
        <v>0</v>
      </c>
      <c r="Y35" s="493">
        <f>ROUND(IF(BO35="j",tabellen!$D$101*IF('wgl tot'!H35&gt;1,1,'wgl tot'!H35),0),2)</f>
        <v>0</v>
      </c>
      <c r="Z35" s="511">
        <f t="shared" si="9"/>
        <v>0</v>
      </c>
      <c r="AA35" s="338"/>
      <c r="AB35" s="339"/>
      <c r="AC35" s="492">
        <f t="shared" si="10"/>
        <v>0</v>
      </c>
      <c r="AD35" s="493">
        <f>ROUND(IF(L35="j",VLOOKUP(K35,bindingstoelage,2,FALSE))*IF('wgl tot'!H35&gt;1,1,'wgl tot'!H35),2)</f>
        <v>0</v>
      </c>
      <c r="AE35" s="493">
        <f>ROUND('wgl tot'!H35*tabellen!$D$99,2)</f>
        <v>0</v>
      </c>
      <c r="AF35" s="492">
        <f t="shared" si="11"/>
        <v>0</v>
      </c>
      <c r="AG35" s="336"/>
      <c r="AH35" s="492">
        <f t="shared" si="12"/>
        <v>0</v>
      </c>
      <c r="AI35" s="494">
        <f>IF('wgl tot'!E35&lt;1950,0,+('wgl tot'!Q35+'wgl tot'!S35+'wgl tot'!T35)*tabellen!$C$89)*12</f>
        <v>0</v>
      </c>
      <c r="AJ35" s="336"/>
      <c r="AK35" s="493">
        <f t="shared" si="1"/>
        <v>0</v>
      </c>
      <c r="AL35" s="493">
        <f>IF(F35="",0,(IF('wgl tot'!AH35/'wgl tot'!H35&lt;tabellen!$E$53,0,('wgl tot'!AH35-tabellen!$E$53*'wgl tot'!H35)/12)*tabellen!$C$53))</f>
        <v>0</v>
      </c>
      <c r="AM35" s="493">
        <f>IF(F35="",0,(IF('wgl tot'!AH35/'wgl tot'!H35&lt;tabellen!$E$54,0,(+'wgl tot'!AH35-tabellen!$E$54*'wgl tot'!H35)/12)*tabellen!$C$54))</f>
        <v>0</v>
      </c>
      <c r="AN35" s="493">
        <f>'wgl tot'!AH35/12*tabellen!$C$55</f>
        <v>0</v>
      </c>
      <c r="AO35" s="493">
        <f>IF(H35=0,0,IF(BU35&gt;tabellen!$G$56/12,tabellen!$G$56/12,BU35)*(tabellen!$C$56+tabellen!$C$57))</f>
        <v>0</v>
      </c>
      <c r="AP35" s="493">
        <f>IF(F35="",0,('wgl tot'!BV35))</f>
        <v>0</v>
      </c>
      <c r="AQ35" s="495">
        <f>IF(F35="",0,(IF('wgl tot'!BU35&gt;tabellen!$G$59*'wgl tot'!H35/12,tabellen!$G$59*'wgl tot'!H35/12,'wgl tot'!BU35)*tabellen!$C$59))</f>
        <v>0</v>
      </c>
      <c r="AR35" s="495">
        <f>IF(F35="",0,('wgl tot'!BU35*IF(N35=1,tabellen!$C$60,IF(N35=2,tabellen!C88,IF(N35=3,tabellen!$C$62,tabellen!$C$63)))))</f>
        <v>0</v>
      </c>
      <c r="AS35" s="495">
        <f>IF(F35="",0,('wgl tot'!BU35*tabellen!$C$64))</f>
        <v>0</v>
      </c>
      <c r="AT35" s="495">
        <f>+'wgl tot'!AI35/12</f>
        <v>0</v>
      </c>
      <c r="AU35" s="530">
        <v>0</v>
      </c>
      <c r="AV35" s="291">
        <f t="shared" si="2"/>
        <v>0</v>
      </c>
      <c r="AW35" s="515">
        <f t="shared" si="3"/>
        <v>0</v>
      </c>
      <c r="AX35" s="515">
        <f t="shared" si="13"/>
        <v>0</v>
      </c>
      <c r="AY35" s="336"/>
      <c r="AZ35" s="501" t="str">
        <f>IF(AW35=0,"",(+'wgl tot'!AW35/'wgl tot'!Q35-1))</f>
        <v/>
      </c>
      <c r="BA35" s="336"/>
      <c r="BB35" s="319"/>
      <c r="BE35" s="482">
        <f ca="1">YEAR('wgl tot'!$BE$10)-YEAR('wgl tot'!E35)</f>
        <v>118</v>
      </c>
      <c r="BF35" s="482">
        <f ca="1">MONTH('wgl tot'!$BE$10)-MONTH('wgl tot'!E35)</f>
        <v>0</v>
      </c>
      <c r="BG35" s="482">
        <f ca="1">DAY('wgl tot'!$BE$10)-DAY('wgl tot'!E35)</f>
        <v>3</v>
      </c>
      <c r="BH35" s="474">
        <f>IF(AND('wgl tot'!F35&gt;0,'wgl tot'!F35&lt;16),0,100)</f>
        <v>100</v>
      </c>
      <c r="BI35" s="474" t="e">
        <f>VLOOKUP('wgl tot'!F35,salaristabellen,22,FALSE)</f>
        <v>#N/A</v>
      </c>
      <c r="BJ35" s="474">
        <f t="shared" si="4"/>
        <v>0</v>
      </c>
      <c r="BK35" s="480">
        <v>42583</v>
      </c>
      <c r="BL35" s="483">
        <f t="shared" si="16"/>
        <v>0.08</v>
      </c>
      <c r="BM35" s="484">
        <f>+tabellen!$D$93</f>
        <v>6.3E-2</v>
      </c>
      <c r="BN35" s="482">
        <f>IF('wgl tot'!BH35=100,0,'wgl tot'!F35)</f>
        <v>0</v>
      </c>
      <c r="BO35" s="484" t="str">
        <f>IF(OR('wgl tot'!F35="DA",'wgl tot'!F35="DB",'wgl tot'!F35="DBuit",'wgl tot'!F35="DC",'wgl tot'!F35="DCuit",MID('wgl tot'!F35,1,5)="meerh"),"j","n")</f>
        <v>n</v>
      </c>
      <c r="BP35" s="485"/>
      <c r="BQ35" s="486" t="e">
        <f>IF('wgl tot'!AH35/'wgl tot'!H35&lt;tabellen!$E$53,0,(+'wgl tot'!AH35-tabellen!$E$53*'wgl tot'!H35)/12*tabellen!$D$53)</f>
        <v>#DIV/0!</v>
      </c>
      <c r="BR35" s="486" t="e">
        <f>IF('wgl tot'!AH35/'wgl tot'!H35&lt;tabellen!$E$54,0,(+'wgl tot'!AH35-tabellen!$E$54*'wgl tot'!H35)/12*tabellen!$D$54)</f>
        <v>#DIV/0!</v>
      </c>
      <c r="BS35" s="486">
        <f>'wgl tot'!AH35/12*tabellen!$D$55</f>
        <v>0</v>
      </c>
      <c r="BT35" s="487" t="e">
        <f t="shared" si="17"/>
        <v>#DIV/0!</v>
      </c>
      <c r="BU35" s="488" t="e">
        <f>+('wgl tot'!AF35+'wgl tot'!AI35)/12-'wgl tot'!BT35</f>
        <v>#DIV/0!</v>
      </c>
      <c r="BV35" s="488" t="e">
        <f>ROUND(IF('wgl tot'!BU35&gt;tabellen!$H$58,tabellen!$H$58,'wgl tot'!BU35)*tabellen!$C$58,2)</f>
        <v>#DIV/0!</v>
      </c>
      <c r="BW35" s="488" t="e">
        <f>+'wgl tot'!BU35+'wgl tot'!BV35</f>
        <v>#DIV/0!</v>
      </c>
      <c r="BX35" s="489">
        <f t="shared" si="6"/>
        <v>1900</v>
      </c>
      <c r="BY35" s="489">
        <f t="shared" si="7"/>
        <v>1</v>
      </c>
      <c r="BZ35" s="482">
        <f t="shared" si="8"/>
        <v>0</v>
      </c>
      <c r="CA35" s="480">
        <f t="shared" si="14"/>
        <v>22462</v>
      </c>
      <c r="CB35" s="480">
        <f t="shared" ca="1" si="15"/>
        <v>43103.670106134261</v>
      </c>
      <c r="CC35" s="474"/>
      <c r="CD35" s="480"/>
      <c r="CE35" s="474"/>
      <c r="CF35" s="485"/>
      <c r="CG35" s="485"/>
      <c r="CH35" s="485"/>
      <c r="CI35" s="485"/>
      <c r="CJ35" s="485"/>
      <c r="CK35" s="485"/>
    </row>
    <row r="36" spans="2:89" ht="13.5" customHeight="1" x14ac:dyDescent="0.2">
      <c r="B36" s="318"/>
      <c r="C36" s="336"/>
      <c r="D36" s="286"/>
      <c r="E36" s="287"/>
      <c r="F36" s="374"/>
      <c r="G36" s="288"/>
      <c r="H36" s="289"/>
      <c r="I36" s="288"/>
      <c r="J36" s="288"/>
      <c r="K36" s="288"/>
      <c r="L36" s="288"/>
      <c r="M36" s="288"/>
      <c r="N36" s="290"/>
      <c r="O36" s="336"/>
      <c r="P36" s="499">
        <f>IF(F36="",0,(VLOOKUP('wgl tot'!F36,salaristabellen,'wgl tot'!G36+1,FALSE)))</f>
        <v>0</v>
      </c>
      <c r="Q36" s="518">
        <f t="shared" si="0"/>
        <v>0</v>
      </c>
      <c r="R36" s="336"/>
      <c r="S36" s="493">
        <f>ROUND(IF(I36="j",VLOOKUP(BJ36,uitlooptoeslag,2,FALSE))*IF('wgl tot'!H36&gt;1,1,'wgl tot'!H36),2)</f>
        <v>0</v>
      </c>
      <c r="T36" s="493">
        <f>ROUND(IF(OR('wgl tot'!F36="LA",'wgl tot'!F36="LB"),IF(J36="j",tabellen!$C$79*'wgl tot'!H36,0),0),2)</f>
        <v>0</v>
      </c>
      <c r="U36" s="493">
        <f>ROUND(IF(('wgl tot'!Q36+'wgl tot'!S36+'wgl tot'!T36)*BL36&lt;'wgl tot'!H36*tabellen!$D$92,'wgl tot'!H36*tabellen!$D$92,('wgl tot'!Q36+'wgl tot'!S36+'wgl tot'!T36)*BL36),2)</f>
        <v>0</v>
      </c>
      <c r="V36" s="493">
        <f>ROUND(+('wgl tot'!Q36+'wgl tot'!S36+'wgl tot'!T36)*BM36,2)</f>
        <v>0</v>
      </c>
      <c r="W36" s="493">
        <f>+tabellen!$C$87*'wgl tot'!H36</f>
        <v>0</v>
      </c>
      <c r="X36" s="493">
        <f>VLOOKUP(BN36,eindejaarsuitkering_OOP,2,TRUE)*'wgl tot'!H36/12</f>
        <v>0</v>
      </c>
      <c r="Y36" s="493">
        <f>ROUND(IF(BO36="j",tabellen!$D$101*IF('wgl tot'!H36&gt;1,1,'wgl tot'!H36),0),2)</f>
        <v>0</v>
      </c>
      <c r="Z36" s="511">
        <f t="shared" si="9"/>
        <v>0</v>
      </c>
      <c r="AA36" s="338"/>
      <c r="AB36" s="339"/>
      <c r="AC36" s="492">
        <f t="shared" si="10"/>
        <v>0</v>
      </c>
      <c r="AD36" s="493">
        <f>ROUND(IF(L36="j",VLOOKUP(K36,bindingstoelage,2,FALSE))*IF('wgl tot'!H36&gt;1,1,'wgl tot'!H36),2)</f>
        <v>0</v>
      </c>
      <c r="AE36" s="493">
        <f>ROUND('wgl tot'!H36*tabellen!$D$99,2)</f>
        <v>0</v>
      </c>
      <c r="AF36" s="492">
        <f t="shared" si="11"/>
        <v>0</v>
      </c>
      <c r="AG36" s="336"/>
      <c r="AH36" s="492">
        <f t="shared" si="12"/>
        <v>0</v>
      </c>
      <c r="AI36" s="494">
        <f>IF('wgl tot'!E36&lt;1950,0,+('wgl tot'!Q36+'wgl tot'!S36+'wgl tot'!T36)*tabellen!$C$89)*12</f>
        <v>0</v>
      </c>
      <c r="AJ36" s="336"/>
      <c r="AK36" s="493">
        <f t="shared" si="1"/>
        <v>0</v>
      </c>
      <c r="AL36" s="493">
        <f>IF(F36="",0,(IF('wgl tot'!AH36/'wgl tot'!H36&lt;tabellen!$E$53,0,('wgl tot'!AH36-tabellen!$E$53*'wgl tot'!H36)/12)*tabellen!$C$53))</f>
        <v>0</v>
      </c>
      <c r="AM36" s="493">
        <f>IF(F36="",0,(IF('wgl tot'!AH36/'wgl tot'!H36&lt;tabellen!$E$54,0,(+'wgl tot'!AH36-tabellen!$E$54*'wgl tot'!H36)/12)*tabellen!$C$54))</f>
        <v>0</v>
      </c>
      <c r="AN36" s="493">
        <f>'wgl tot'!AH36/12*tabellen!$C$55</f>
        <v>0</v>
      </c>
      <c r="AO36" s="493">
        <f>IF(H36=0,0,IF(BU36&gt;tabellen!$G$56/12,tabellen!$G$56/12,BU36)*(tabellen!$C$56+tabellen!$C$57))</f>
        <v>0</v>
      </c>
      <c r="AP36" s="493">
        <f>IF(F36="",0,('wgl tot'!BV36))</f>
        <v>0</v>
      </c>
      <c r="AQ36" s="495">
        <f>IF(F36="",0,(IF('wgl tot'!BU36&gt;tabellen!$G$59*'wgl tot'!H36/12,tabellen!$G$59*'wgl tot'!H36/12,'wgl tot'!BU36)*tabellen!$C$59))</f>
        <v>0</v>
      </c>
      <c r="AR36" s="495">
        <f>IF(F36="",0,('wgl tot'!BU36*IF(N36=1,tabellen!$C$60,IF(N36=2,tabellen!C89,IF(N36=3,tabellen!$C$62,tabellen!$C$63)))))</f>
        <v>0</v>
      </c>
      <c r="AS36" s="495">
        <f>IF(F36="",0,('wgl tot'!BU36*tabellen!$C$64))</f>
        <v>0</v>
      </c>
      <c r="AT36" s="495">
        <f>+'wgl tot'!AI36/12</f>
        <v>0</v>
      </c>
      <c r="AU36" s="530">
        <v>0</v>
      </c>
      <c r="AV36" s="291">
        <f t="shared" si="2"/>
        <v>0</v>
      </c>
      <c r="AW36" s="515">
        <f t="shared" si="3"/>
        <v>0</v>
      </c>
      <c r="AX36" s="515">
        <f t="shared" si="13"/>
        <v>0</v>
      </c>
      <c r="AY36" s="336"/>
      <c r="AZ36" s="501" t="str">
        <f>IF(AW36=0,"",(+'wgl tot'!AW36/'wgl tot'!Q36-1))</f>
        <v/>
      </c>
      <c r="BA36" s="336"/>
      <c r="BB36" s="319"/>
      <c r="BE36" s="482">
        <f ca="1">YEAR('wgl tot'!$BE$10)-YEAR('wgl tot'!E36)</f>
        <v>118</v>
      </c>
      <c r="BF36" s="482">
        <f ca="1">MONTH('wgl tot'!$BE$10)-MONTH('wgl tot'!E36)</f>
        <v>0</v>
      </c>
      <c r="BG36" s="482">
        <f ca="1">DAY('wgl tot'!$BE$10)-DAY('wgl tot'!E36)</f>
        <v>3</v>
      </c>
      <c r="BH36" s="474">
        <f>IF(AND('wgl tot'!F36&gt;0,'wgl tot'!F36&lt;16),0,100)</f>
        <v>100</v>
      </c>
      <c r="BI36" s="474" t="e">
        <f>VLOOKUP('wgl tot'!F36,salaristabellen,22,FALSE)</f>
        <v>#N/A</v>
      </c>
      <c r="BJ36" s="474">
        <f t="shared" si="4"/>
        <v>0</v>
      </c>
      <c r="BK36" s="480">
        <v>42583</v>
      </c>
      <c r="BL36" s="483">
        <f t="shared" si="16"/>
        <v>0.08</v>
      </c>
      <c r="BM36" s="484">
        <f>+tabellen!$D$93</f>
        <v>6.3E-2</v>
      </c>
      <c r="BN36" s="482">
        <f>IF('wgl tot'!BH36=100,0,'wgl tot'!F36)</f>
        <v>0</v>
      </c>
      <c r="BO36" s="484" t="str">
        <f>IF(OR('wgl tot'!F36="DA",'wgl tot'!F36="DB",'wgl tot'!F36="DBuit",'wgl tot'!F36="DC",'wgl tot'!F36="DCuit",MID('wgl tot'!F36,1,5)="meerh"),"j","n")</f>
        <v>n</v>
      </c>
      <c r="BP36" s="485"/>
      <c r="BQ36" s="486" t="e">
        <f>IF('wgl tot'!AH36/'wgl tot'!H36&lt;tabellen!$E$53,0,(+'wgl tot'!AH36-tabellen!$E$53*'wgl tot'!H36)/12*tabellen!$D$53)</f>
        <v>#DIV/0!</v>
      </c>
      <c r="BR36" s="486" t="e">
        <f>IF('wgl tot'!AH36/'wgl tot'!H36&lt;tabellen!$E$54,0,(+'wgl tot'!AH36-tabellen!$E$54*'wgl tot'!H36)/12*tabellen!$D$54)</f>
        <v>#DIV/0!</v>
      </c>
      <c r="BS36" s="486">
        <f>'wgl tot'!AH36/12*tabellen!$D$55</f>
        <v>0</v>
      </c>
      <c r="BT36" s="487" t="e">
        <f t="shared" si="17"/>
        <v>#DIV/0!</v>
      </c>
      <c r="BU36" s="488" t="e">
        <f>+('wgl tot'!AF36+'wgl tot'!AI36)/12-'wgl tot'!BT36</f>
        <v>#DIV/0!</v>
      </c>
      <c r="BV36" s="488" t="e">
        <f>ROUND(IF('wgl tot'!BU36&gt;tabellen!$H$58,tabellen!$H$58,'wgl tot'!BU36)*tabellen!$C$58,2)</f>
        <v>#DIV/0!</v>
      </c>
      <c r="BW36" s="488" t="e">
        <f>+'wgl tot'!BU36+'wgl tot'!BV36</f>
        <v>#DIV/0!</v>
      </c>
      <c r="BX36" s="489">
        <f t="shared" si="6"/>
        <v>1900</v>
      </c>
      <c r="BY36" s="489">
        <f t="shared" si="7"/>
        <v>1</v>
      </c>
      <c r="BZ36" s="482">
        <f t="shared" si="8"/>
        <v>0</v>
      </c>
      <c r="CA36" s="480">
        <f t="shared" si="14"/>
        <v>22462</v>
      </c>
      <c r="CB36" s="480">
        <f t="shared" ca="1" si="15"/>
        <v>43103.670106134261</v>
      </c>
      <c r="CC36" s="474"/>
      <c r="CD36" s="480"/>
      <c r="CE36" s="474"/>
      <c r="CF36" s="485"/>
      <c r="CG36" s="485"/>
      <c r="CH36" s="485"/>
      <c r="CI36" s="485"/>
      <c r="CJ36" s="485"/>
      <c r="CK36" s="485"/>
    </row>
    <row r="37" spans="2:89" ht="13.5" customHeight="1" x14ac:dyDescent="0.2">
      <c r="B37" s="318"/>
      <c r="C37" s="336"/>
      <c r="D37" s="286"/>
      <c r="E37" s="287"/>
      <c r="F37" s="374"/>
      <c r="G37" s="288"/>
      <c r="H37" s="289"/>
      <c r="I37" s="288"/>
      <c r="J37" s="288"/>
      <c r="K37" s="288"/>
      <c r="L37" s="288"/>
      <c r="M37" s="288"/>
      <c r="N37" s="290"/>
      <c r="O37" s="336"/>
      <c r="P37" s="499">
        <f>IF(F37="",0,(VLOOKUP('wgl tot'!F37,salaristabellen,'wgl tot'!G37+1,FALSE)))</f>
        <v>0</v>
      </c>
      <c r="Q37" s="518">
        <f t="shared" si="0"/>
        <v>0</v>
      </c>
      <c r="R37" s="336"/>
      <c r="S37" s="493">
        <f>ROUND(IF(I37="j",VLOOKUP(BJ37,uitlooptoeslag,2,FALSE))*IF('wgl tot'!H37&gt;1,1,'wgl tot'!H37),2)</f>
        <v>0</v>
      </c>
      <c r="T37" s="493">
        <f>ROUND(IF(OR('wgl tot'!F37="LA",'wgl tot'!F37="LB"),IF(J37="j",tabellen!$C$79*'wgl tot'!H37,0),0),2)</f>
        <v>0</v>
      </c>
      <c r="U37" s="493">
        <f>ROUND(IF(('wgl tot'!Q37+'wgl tot'!S37+'wgl tot'!T37)*BL37&lt;'wgl tot'!H37*tabellen!$D$92,'wgl tot'!H37*tabellen!$D$92,('wgl tot'!Q37+'wgl tot'!S37+'wgl tot'!T37)*BL37),2)</f>
        <v>0</v>
      </c>
      <c r="V37" s="493">
        <f>ROUND(+('wgl tot'!Q37+'wgl tot'!S37+'wgl tot'!T37)*BM37,2)</f>
        <v>0</v>
      </c>
      <c r="W37" s="493">
        <f>+tabellen!$C$87*'wgl tot'!H37</f>
        <v>0</v>
      </c>
      <c r="X37" s="493">
        <f>VLOOKUP(BN37,eindejaarsuitkering_OOP,2,TRUE)*'wgl tot'!H37/12</f>
        <v>0</v>
      </c>
      <c r="Y37" s="493">
        <f>ROUND(IF(BO37="j",tabellen!$D$101*IF('wgl tot'!H37&gt;1,1,'wgl tot'!H37),0),2)</f>
        <v>0</v>
      </c>
      <c r="Z37" s="511">
        <f t="shared" si="9"/>
        <v>0</v>
      </c>
      <c r="AA37" s="338"/>
      <c r="AB37" s="339"/>
      <c r="AC37" s="492">
        <f t="shared" si="10"/>
        <v>0</v>
      </c>
      <c r="AD37" s="493">
        <f>ROUND(IF(L37="j",VLOOKUP(K37,bindingstoelage,2,FALSE))*IF('wgl tot'!H37&gt;1,1,'wgl tot'!H37),2)</f>
        <v>0</v>
      </c>
      <c r="AE37" s="493">
        <f>ROUND('wgl tot'!H37*tabellen!$D$99,2)</f>
        <v>0</v>
      </c>
      <c r="AF37" s="492">
        <f t="shared" si="11"/>
        <v>0</v>
      </c>
      <c r="AG37" s="336"/>
      <c r="AH37" s="492">
        <f t="shared" si="12"/>
        <v>0</v>
      </c>
      <c r="AI37" s="494">
        <f>IF('wgl tot'!E37&lt;1950,0,+('wgl tot'!Q37+'wgl tot'!S37+'wgl tot'!T37)*tabellen!$C$89)*12</f>
        <v>0</v>
      </c>
      <c r="AJ37" s="336"/>
      <c r="AK37" s="493">
        <f t="shared" si="1"/>
        <v>0</v>
      </c>
      <c r="AL37" s="493">
        <f>IF(F37="",0,(IF('wgl tot'!AH37/'wgl tot'!H37&lt;tabellen!$E$53,0,('wgl tot'!AH37-tabellen!$E$53*'wgl tot'!H37)/12)*tabellen!$C$53))</f>
        <v>0</v>
      </c>
      <c r="AM37" s="493">
        <f>IF(F37="",0,(IF('wgl tot'!AH37/'wgl tot'!H37&lt;tabellen!$E$54,0,(+'wgl tot'!AH37-tabellen!$E$54*'wgl tot'!H37)/12)*tabellen!$C$54))</f>
        <v>0</v>
      </c>
      <c r="AN37" s="493">
        <f>'wgl tot'!AH37/12*tabellen!$C$55</f>
        <v>0</v>
      </c>
      <c r="AO37" s="493">
        <f>IF(H37=0,0,IF(BU37&gt;tabellen!$G$56/12,tabellen!$G$56/12,BU37)*(tabellen!$C$56+tabellen!$C$57))</f>
        <v>0</v>
      </c>
      <c r="AP37" s="493">
        <f>IF(F37="",0,('wgl tot'!BV37))</f>
        <v>0</v>
      </c>
      <c r="AQ37" s="495">
        <f>IF(F37="",0,(IF('wgl tot'!BU37&gt;tabellen!$G$59*'wgl tot'!H37/12,tabellen!$G$59*'wgl tot'!H37/12,'wgl tot'!BU37)*tabellen!$C$59))</f>
        <v>0</v>
      </c>
      <c r="AR37" s="495">
        <f>IF(F37="",0,('wgl tot'!BU37*IF(N37=1,tabellen!$C$60,IF(N37=2,tabellen!C90,IF(N37=3,tabellen!$C$62,tabellen!$C$63)))))</f>
        <v>0</v>
      </c>
      <c r="AS37" s="495">
        <f>IF(F37="",0,('wgl tot'!BU37*tabellen!$C$64))</f>
        <v>0</v>
      </c>
      <c r="AT37" s="495">
        <f>+'wgl tot'!AI37/12</f>
        <v>0</v>
      </c>
      <c r="AU37" s="530">
        <v>0</v>
      </c>
      <c r="AV37" s="291">
        <f t="shared" si="2"/>
        <v>0</v>
      </c>
      <c r="AW37" s="515">
        <f t="shared" si="3"/>
        <v>0</v>
      </c>
      <c r="AX37" s="515">
        <f t="shared" si="13"/>
        <v>0</v>
      </c>
      <c r="AY37" s="336"/>
      <c r="AZ37" s="501" t="str">
        <f>IF(AW37=0,"",(+'wgl tot'!AW37/'wgl tot'!Q37-1))</f>
        <v/>
      </c>
      <c r="BA37" s="336"/>
      <c r="BB37" s="319"/>
      <c r="BE37" s="482">
        <f ca="1">YEAR('wgl tot'!$BE$10)-YEAR('wgl tot'!E37)</f>
        <v>118</v>
      </c>
      <c r="BF37" s="482">
        <f ca="1">MONTH('wgl tot'!$BE$10)-MONTH('wgl tot'!E37)</f>
        <v>0</v>
      </c>
      <c r="BG37" s="482">
        <f ca="1">DAY('wgl tot'!$BE$10)-DAY('wgl tot'!E37)</f>
        <v>3</v>
      </c>
      <c r="BH37" s="474">
        <f>IF(AND('wgl tot'!F37&gt;0,'wgl tot'!F37&lt;16),0,100)</f>
        <v>100</v>
      </c>
      <c r="BI37" s="474" t="e">
        <f>VLOOKUP('wgl tot'!F37,salaristabellen,22,FALSE)</f>
        <v>#N/A</v>
      </c>
      <c r="BJ37" s="474">
        <f t="shared" si="4"/>
        <v>0</v>
      </c>
      <c r="BK37" s="480">
        <v>42583</v>
      </c>
      <c r="BL37" s="483">
        <f t="shared" si="16"/>
        <v>0.08</v>
      </c>
      <c r="BM37" s="484">
        <f>+tabellen!$D$93</f>
        <v>6.3E-2</v>
      </c>
      <c r="BN37" s="482">
        <f>IF('wgl tot'!BH37=100,0,'wgl tot'!F37)</f>
        <v>0</v>
      </c>
      <c r="BO37" s="484" t="str">
        <f>IF(OR('wgl tot'!F37="DA",'wgl tot'!F37="DB",'wgl tot'!F37="DBuit",'wgl tot'!F37="DC",'wgl tot'!F37="DCuit",MID('wgl tot'!F37,1,5)="meerh"),"j","n")</f>
        <v>n</v>
      </c>
      <c r="BP37" s="485"/>
      <c r="BQ37" s="486" t="e">
        <f>IF('wgl tot'!AH37/'wgl tot'!H37&lt;tabellen!$E$53,0,(+'wgl tot'!AH37-tabellen!$E$53*'wgl tot'!H37)/12*tabellen!$D$53)</f>
        <v>#DIV/0!</v>
      </c>
      <c r="BR37" s="486" t="e">
        <f>IF('wgl tot'!AH37/'wgl tot'!H37&lt;tabellen!$E$54,0,(+'wgl tot'!AH37-tabellen!$E$54*'wgl tot'!H37)/12*tabellen!$D$54)</f>
        <v>#DIV/0!</v>
      </c>
      <c r="BS37" s="486">
        <f>'wgl tot'!AH37/12*tabellen!$D$55</f>
        <v>0</v>
      </c>
      <c r="BT37" s="487" t="e">
        <f t="shared" si="17"/>
        <v>#DIV/0!</v>
      </c>
      <c r="BU37" s="488" t="e">
        <f>+('wgl tot'!AF37+'wgl tot'!AI37)/12-'wgl tot'!BT37</f>
        <v>#DIV/0!</v>
      </c>
      <c r="BV37" s="488" t="e">
        <f>ROUND(IF('wgl tot'!BU37&gt;tabellen!$H$58,tabellen!$H$58,'wgl tot'!BU37)*tabellen!$C$58,2)</f>
        <v>#DIV/0!</v>
      </c>
      <c r="BW37" s="488" t="e">
        <f>+'wgl tot'!BU37+'wgl tot'!BV37</f>
        <v>#DIV/0!</v>
      </c>
      <c r="BX37" s="489">
        <f t="shared" si="6"/>
        <v>1900</v>
      </c>
      <c r="BY37" s="489">
        <f t="shared" si="7"/>
        <v>1</v>
      </c>
      <c r="BZ37" s="482">
        <f t="shared" si="8"/>
        <v>0</v>
      </c>
      <c r="CA37" s="480">
        <f t="shared" si="14"/>
        <v>22462</v>
      </c>
      <c r="CB37" s="480">
        <f t="shared" ca="1" si="15"/>
        <v>43103.670106134261</v>
      </c>
      <c r="CC37" s="474"/>
      <c r="CD37" s="480"/>
      <c r="CE37" s="474"/>
      <c r="CF37" s="485"/>
      <c r="CG37" s="485"/>
      <c r="CH37" s="485"/>
      <c r="CI37" s="485"/>
      <c r="CJ37" s="485"/>
      <c r="CK37" s="485"/>
    </row>
    <row r="38" spans="2:89" ht="13.5" customHeight="1" x14ac:dyDescent="0.2">
      <c r="B38" s="318"/>
      <c r="C38" s="336"/>
      <c r="D38" s="286"/>
      <c r="E38" s="287"/>
      <c r="F38" s="374"/>
      <c r="G38" s="288"/>
      <c r="H38" s="289"/>
      <c r="I38" s="288"/>
      <c r="J38" s="288"/>
      <c r="K38" s="288"/>
      <c r="L38" s="288"/>
      <c r="M38" s="288"/>
      <c r="N38" s="290"/>
      <c r="O38" s="336"/>
      <c r="P38" s="499">
        <f>IF(F38="",0,(VLOOKUP('wgl tot'!F38,salaristabellen,'wgl tot'!G38+1,FALSE)))</f>
        <v>0</v>
      </c>
      <c r="Q38" s="518">
        <f t="shared" si="0"/>
        <v>0</v>
      </c>
      <c r="R38" s="336"/>
      <c r="S38" s="493">
        <f>ROUND(IF(I38="j",VLOOKUP(BJ38,uitlooptoeslag,2,FALSE))*IF('wgl tot'!H38&gt;1,1,'wgl tot'!H38),2)</f>
        <v>0</v>
      </c>
      <c r="T38" s="493">
        <f>ROUND(IF(OR('wgl tot'!F38="LA",'wgl tot'!F38="LB"),IF(J38="j",tabellen!$C$79*'wgl tot'!H38,0),0),2)</f>
        <v>0</v>
      </c>
      <c r="U38" s="493">
        <f>ROUND(IF(('wgl tot'!Q38+'wgl tot'!S38+'wgl tot'!T38)*BL38&lt;'wgl tot'!H38*tabellen!$D$92,'wgl tot'!H38*tabellen!$D$92,('wgl tot'!Q38+'wgl tot'!S38+'wgl tot'!T38)*BL38),2)</f>
        <v>0</v>
      </c>
      <c r="V38" s="493">
        <f>ROUND(+('wgl tot'!Q38+'wgl tot'!S38+'wgl tot'!T38)*BM38,2)</f>
        <v>0</v>
      </c>
      <c r="W38" s="493">
        <f>+tabellen!$C$87*'wgl tot'!H38</f>
        <v>0</v>
      </c>
      <c r="X38" s="493">
        <f>VLOOKUP(BN38,eindejaarsuitkering_OOP,2,TRUE)*'wgl tot'!H38/12</f>
        <v>0</v>
      </c>
      <c r="Y38" s="493">
        <f>ROUND(IF(BO38="j",tabellen!$D$101*IF('wgl tot'!H38&gt;1,1,'wgl tot'!H38),0),2)</f>
        <v>0</v>
      </c>
      <c r="Z38" s="511">
        <f t="shared" si="9"/>
        <v>0</v>
      </c>
      <c r="AA38" s="338"/>
      <c r="AB38" s="339"/>
      <c r="AC38" s="492">
        <f t="shared" si="10"/>
        <v>0</v>
      </c>
      <c r="AD38" s="493">
        <f>ROUND(IF(L38="j",VLOOKUP(K38,bindingstoelage,2,FALSE))*IF('wgl tot'!H38&gt;1,1,'wgl tot'!H38),2)</f>
        <v>0</v>
      </c>
      <c r="AE38" s="493">
        <f>ROUND('wgl tot'!H38*tabellen!$D$99,2)</f>
        <v>0</v>
      </c>
      <c r="AF38" s="492">
        <f t="shared" si="11"/>
        <v>0</v>
      </c>
      <c r="AG38" s="336"/>
      <c r="AH38" s="492">
        <f t="shared" si="12"/>
        <v>0</v>
      </c>
      <c r="AI38" s="494">
        <f>IF('wgl tot'!E38&lt;1950,0,+('wgl tot'!Q38+'wgl tot'!S38+'wgl tot'!T38)*tabellen!$C$89)*12</f>
        <v>0</v>
      </c>
      <c r="AJ38" s="336"/>
      <c r="AK38" s="493">
        <f t="shared" si="1"/>
        <v>0</v>
      </c>
      <c r="AL38" s="493">
        <f>IF(F38="",0,(IF('wgl tot'!AH38/'wgl tot'!H38&lt;tabellen!$E$53,0,('wgl tot'!AH38-tabellen!$E$53*'wgl tot'!H38)/12)*tabellen!$C$53))</f>
        <v>0</v>
      </c>
      <c r="AM38" s="493">
        <f>IF(F38="",0,(IF('wgl tot'!AH38/'wgl tot'!H38&lt;tabellen!$E$54,0,(+'wgl tot'!AH38-tabellen!$E$54*'wgl tot'!H38)/12)*tabellen!$C$54))</f>
        <v>0</v>
      </c>
      <c r="AN38" s="493">
        <f>'wgl tot'!AH38/12*tabellen!$C$55</f>
        <v>0</v>
      </c>
      <c r="AO38" s="493">
        <f>IF(H38=0,0,IF(BU38&gt;tabellen!$G$56/12,tabellen!$G$56/12,BU38)*(tabellen!$C$56+tabellen!$C$57))</f>
        <v>0</v>
      </c>
      <c r="AP38" s="493">
        <f>IF(F38="",0,('wgl tot'!BV38))</f>
        <v>0</v>
      </c>
      <c r="AQ38" s="495">
        <f>IF(F38="",0,(IF('wgl tot'!BU38&gt;tabellen!$G$59*'wgl tot'!H38/12,tabellen!$G$59*'wgl tot'!H38/12,'wgl tot'!BU38)*tabellen!$C$59))</f>
        <v>0</v>
      </c>
      <c r="AR38" s="495">
        <f>IF(F38="",0,('wgl tot'!BU38*IF(N38=1,tabellen!$C$60,IF(N38=2,tabellen!C92,IF(N38=3,tabellen!$C$62,tabellen!$C$63)))))</f>
        <v>0</v>
      </c>
      <c r="AS38" s="495">
        <f>IF(F38="",0,('wgl tot'!BU38*tabellen!$C$64))</f>
        <v>0</v>
      </c>
      <c r="AT38" s="495">
        <f>+'wgl tot'!AI38/12</f>
        <v>0</v>
      </c>
      <c r="AU38" s="530">
        <v>0</v>
      </c>
      <c r="AV38" s="291">
        <f t="shared" si="2"/>
        <v>0</v>
      </c>
      <c r="AW38" s="515">
        <f t="shared" si="3"/>
        <v>0</v>
      </c>
      <c r="AX38" s="515">
        <f t="shared" si="13"/>
        <v>0</v>
      </c>
      <c r="AY38" s="336"/>
      <c r="AZ38" s="501" t="str">
        <f>IF(AW38=0,"",(+'wgl tot'!AW38/'wgl tot'!Q38-1))</f>
        <v/>
      </c>
      <c r="BA38" s="336"/>
      <c r="BB38" s="319"/>
      <c r="BE38" s="482">
        <f ca="1">YEAR('wgl tot'!$BE$10)-YEAR('wgl tot'!E38)</f>
        <v>118</v>
      </c>
      <c r="BF38" s="482">
        <f ca="1">MONTH('wgl tot'!$BE$10)-MONTH('wgl tot'!E38)</f>
        <v>0</v>
      </c>
      <c r="BG38" s="482">
        <f ca="1">DAY('wgl tot'!$BE$10)-DAY('wgl tot'!E38)</f>
        <v>3</v>
      </c>
      <c r="BH38" s="474">
        <f>IF(AND('wgl tot'!F38&gt;0,'wgl tot'!F38&lt;16),0,100)</f>
        <v>100</v>
      </c>
      <c r="BI38" s="474" t="e">
        <f>VLOOKUP('wgl tot'!F38,salaristabellen,22,FALSE)</f>
        <v>#N/A</v>
      </c>
      <c r="BJ38" s="474">
        <f t="shared" si="4"/>
        <v>0</v>
      </c>
      <c r="BK38" s="480">
        <v>42583</v>
      </c>
      <c r="BL38" s="483">
        <f t="shared" si="16"/>
        <v>0.08</v>
      </c>
      <c r="BM38" s="484">
        <f>+tabellen!$D$93</f>
        <v>6.3E-2</v>
      </c>
      <c r="BN38" s="482">
        <f>IF('wgl tot'!BH38=100,0,'wgl tot'!F38)</f>
        <v>0</v>
      </c>
      <c r="BO38" s="484" t="str">
        <f>IF(OR('wgl tot'!F38="DA",'wgl tot'!F38="DB",'wgl tot'!F38="DBuit",'wgl tot'!F38="DC",'wgl tot'!F38="DCuit",MID('wgl tot'!F38,1,5)="meerh"),"j","n")</f>
        <v>n</v>
      </c>
      <c r="BP38" s="485"/>
      <c r="BQ38" s="486" t="e">
        <f>IF('wgl tot'!AH38/'wgl tot'!H38&lt;tabellen!$E$53,0,(+'wgl tot'!AH38-tabellen!$E$53*'wgl tot'!H38)/12*tabellen!$D$53)</f>
        <v>#DIV/0!</v>
      </c>
      <c r="BR38" s="486" t="e">
        <f>IF('wgl tot'!AH38/'wgl tot'!H38&lt;tabellen!$E$54,0,(+'wgl tot'!AH38-tabellen!$E$54*'wgl tot'!H38)/12*tabellen!$D$54)</f>
        <v>#DIV/0!</v>
      </c>
      <c r="BS38" s="486">
        <f>'wgl tot'!AH38/12*tabellen!$D$55</f>
        <v>0</v>
      </c>
      <c r="BT38" s="487" t="e">
        <f t="shared" si="17"/>
        <v>#DIV/0!</v>
      </c>
      <c r="BU38" s="488" t="e">
        <f>+('wgl tot'!AF38+'wgl tot'!AI38)/12-'wgl tot'!BT38</f>
        <v>#DIV/0!</v>
      </c>
      <c r="BV38" s="488" t="e">
        <f>ROUND(IF('wgl tot'!BU38&gt;tabellen!$H$58,tabellen!$H$58,'wgl tot'!BU38)*tabellen!$C$58,2)</f>
        <v>#DIV/0!</v>
      </c>
      <c r="BW38" s="488" t="e">
        <f>+'wgl tot'!BU38+'wgl tot'!BV38</f>
        <v>#DIV/0!</v>
      </c>
      <c r="BX38" s="489">
        <f t="shared" si="6"/>
        <v>1900</v>
      </c>
      <c r="BY38" s="489">
        <f t="shared" si="7"/>
        <v>1</v>
      </c>
      <c r="BZ38" s="482">
        <f t="shared" si="8"/>
        <v>0</v>
      </c>
      <c r="CA38" s="480">
        <f t="shared" si="14"/>
        <v>22462</v>
      </c>
      <c r="CB38" s="480">
        <f t="shared" ca="1" si="15"/>
        <v>43103.670106134261</v>
      </c>
      <c r="CC38" s="474"/>
      <c r="CD38" s="480"/>
      <c r="CE38" s="474"/>
      <c r="CF38" s="485"/>
      <c r="CG38" s="485"/>
      <c r="CH38" s="485"/>
      <c r="CI38" s="485"/>
      <c r="CJ38" s="485"/>
      <c r="CK38" s="485"/>
    </row>
    <row r="39" spans="2:89" ht="13.5" customHeight="1" x14ac:dyDescent="0.2">
      <c r="B39" s="318"/>
      <c r="C39" s="336"/>
      <c r="D39" s="286"/>
      <c r="E39" s="287"/>
      <c r="F39" s="374"/>
      <c r="G39" s="288"/>
      <c r="H39" s="289"/>
      <c r="I39" s="288"/>
      <c r="J39" s="288"/>
      <c r="K39" s="288"/>
      <c r="L39" s="288"/>
      <c r="M39" s="288"/>
      <c r="N39" s="290"/>
      <c r="O39" s="336"/>
      <c r="P39" s="499">
        <f>IF(F39="",0,(VLOOKUP('wgl tot'!F39,salaristabellen,'wgl tot'!G39+1,FALSE)))</f>
        <v>0</v>
      </c>
      <c r="Q39" s="518">
        <f t="shared" si="0"/>
        <v>0</v>
      </c>
      <c r="R39" s="336"/>
      <c r="S39" s="493">
        <f>ROUND(IF(I39="j",VLOOKUP(BJ39,uitlooptoeslag,2,FALSE))*IF('wgl tot'!H39&gt;1,1,'wgl tot'!H39),2)</f>
        <v>0</v>
      </c>
      <c r="T39" s="493">
        <f>ROUND(IF(OR('wgl tot'!F39="LA",'wgl tot'!F39="LB"),IF(J39="j",tabellen!$C$79*'wgl tot'!H39,0),0),2)</f>
        <v>0</v>
      </c>
      <c r="U39" s="493">
        <f>ROUND(IF(('wgl tot'!Q39+'wgl tot'!S39+'wgl tot'!T39)*BL39&lt;'wgl tot'!H39*tabellen!$D$92,'wgl tot'!H39*tabellen!$D$92,('wgl tot'!Q39+'wgl tot'!S39+'wgl tot'!T39)*BL39),2)</f>
        <v>0</v>
      </c>
      <c r="V39" s="493">
        <f>ROUND(+('wgl tot'!Q39+'wgl tot'!S39+'wgl tot'!T39)*BM39,2)</f>
        <v>0</v>
      </c>
      <c r="W39" s="493">
        <f>+tabellen!$C$87*'wgl tot'!H39</f>
        <v>0</v>
      </c>
      <c r="X39" s="493">
        <f>VLOOKUP(BN39,eindejaarsuitkering_OOP,2,TRUE)*'wgl tot'!H39/12</f>
        <v>0</v>
      </c>
      <c r="Y39" s="493">
        <f>ROUND(IF(BO39="j",tabellen!$D$101*IF('wgl tot'!H39&gt;1,1,'wgl tot'!H39),0),2)</f>
        <v>0</v>
      </c>
      <c r="Z39" s="511">
        <f t="shared" si="9"/>
        <v>0</v>
      </c>
      <c r="AA39" s="338"/>
      <c r="AB39" s="339"/>
      <c r="AC39" s="492">
        <f t="shared" si="10"/>
        <v>0</v>
      </c>
      <c r="AD39" s="493">
        <f>ROUND(IF(L39="j",VLOOKUP(K39,bindingstoelage,2,FALSE))*IF('wgl tot'!H39&gt;1,1,'wgl tot'!H39),2)</f>
        <v>0</v>
      </c>
      <c r="AE39" s="493">
        <f>ROUND('wgl tot'!H39*tabellen!$D$99,2)</f>
        <v>0</v>
      </c>
      <c r="AF39" s="492">
        <f t="shared" si="11"/>
        <v>0</v>
      </c>
      <c r="AG39" s="336"/>
      <c r="AH39" s="492">
        <f t="shared" si="12"/>
        <v>0</v>
      </c>
      <c r="AI39" s="494">
        <f>IF('wgl tot'!E39&lt;1950,0,+('wgl tot'!Q39+'wgl tot'!S39+'wgl tot'!T39)*tabellen!$C$89)*12</f>
        <v>0</v>
      </c>
      <c r="AJ39" s="336"/>
      <c r="AK39" s="493">
        <f t="shared" si="1"/>
        <v>0</v>
      </c>
      <c r="AL39" s="493">
        <f>IF(F39="",0,(IF('wgl tot'!AH39/'wgl tot'!H39&lt;tabellen!$E$53,0,('wgl tot'!AH39-tabellen!$E$53*'wgl tot'!H39)/12)*tabellen!$C$53))</f>
        <v>0</v>
      </c>
      <c r="AM39" s="493">
        <f>IF(F39="",0,(IF('wgl tot'!AH39/'wgl tot'!H39&lt;tabellen!$E$54,0,(+'wgl tot'!AH39-tabellen!$E$54*'wgl tot'!H39)/12)*tabellen!$C$54))</f>
        <v>0</v>
      </c>
      <c r="AN39" s="493">
        <f>'wgl tot'!AH39/12*tabellen!$C$55</f>
        <v>0</v>
      </c>
      <c r="AO39" s="493">
        <f>IF(H39=0,0,IF(BU39&gt;tabellen!$G$56/12,tabellen!$G$56/12,BU39)*(tabellen!$C$56+tabellen!$C$57))</f>
        <v>0</v>
      </c>
      <c r="AP39" s="493">
        <f>IF(F39="",0,('wgl tot'!BV39))</f>
        <v>0</v>
      </c>
      <c r="AQ39" s="495">
        <f>IF(F39="",0,(IF('wgl tot'!BU39&gt;tabellen!$G$59*'wgl tot'!H39/12,tabellen!$G$59*'wgl tot'!H39/12,'wgl tot'!BU39)*tabellen!$C$59))</f>
        <v>0</v>
      </c>
      <c r="AR39" s="495">
        <f>IF(F39="",0,('wgl tot'!BU39*IF(N39=1,tabellen!$C$60,IF(N39=2,tabellen!C93,IF(N39=3,tabellen!$C$62,tabellen!$C$63)))))</f>
        <v>0</v>
      </c>
      <c r="AS39" s="495">
        <f>IF(F39="",0,('wgl tot'!BU39*tabellen!$C$64))</f>
        <v>0</v>
      </c>
      <c r="AT39" s="495">
        <f>+'wgl tot'!AI39/12</f>
        <v>0</v>
      </c>
      <c r="AU39" s="530">
        <v>0</v>
      </c>
      <c r="AV39" s="291">
        <f t="shared" si="2"/>
        <v>0</v>
      </c>
      <c r="AW39" s="515">
        <f t="shared" si="3"/>
        <v>0</v>
      </c>
      <c r="AX39" s="515">
        <f t="shared" si="13"/>
        <v>0</v>
      </c>
      <c r="AY39" s="336"/>
      <c r="AZ39" s="501" t="str">
        <f>IF(AW39=0,"",(+'wgl tot'!AW39/'wgl tot'!Q39-1))</f>
        <v/>
      </c>
      <c r="BA39" s="336"/>
      <c r="BB39" s="319"/>
      <c r="BE39" s="482">
        <f ca="1">YEAR('wgl tot'!$BE$10)-YEAR('wgl tot'!E39)</f>
        <v>118</v>
      </c>
      <c r="BF39" s="482">
        <f ca="1">MONTH('wgl tot'!$BE$10)-MONTH('wgl tot'!E39)</f>
        <v>0</v>
      </c>
      <c r="BG39" s="482">
        <f ca="1">DAY('wgl tot'!$BE$10)-DAY('wgl tot'!E39)</f>
        <v>3</v>
      </c>
      <c r="BH39" s="474">
        <f>IF(AND('wgl tot'!F39&gt;0,'wgl tot'!F39&lt;16),0,100)</f>
        <v>100</v>
      </c>
      <c r="BI39" s="474" t="e">
        <f>VLOOKUP('wgl tot'!F39,salaristabellen,22,FALSE)</f>
        <v>#N/A</v>
      </c>
      <c r="BJ39" s="474">
        <f t="shared" si="4"/>
        <v>0</v>
      </c>
      <c r="BK39" s="480">
        <v>42583</v>
      </c>
      <c r="BL39" s="483">
        <f t="shared" si="16"/>
        <v>0.08</v>
      </c>
      <c r="BM39" s="484">
        <f>+tabellen!$D$93</f>
        <v>6.3E-2</v>
      </c>
      <c r="BN39" s="482">
        <f>IF('wgl tot'!BH39=100,0,'wgl tot'!F39)</f>
        <v>0</v>
      </c>
      <c r="BO39" s="484" t="str">
        <f>IF(OR('wgl tot'!F39="DA",'wgl tot'!F39="DB",'wgl tot'!F39="DBuit",'wgl tot'!F39="DC",'wgl tot'!F39="DCuit",MID('wgl tot'!F39,1,5)="meerh"),"j","n")</f>
        <v>n</v>
      </c>
      <c r="BP39" s="485"/>
      <c r="BQ39" s="486" t="e">
        <f>IF('wgl tot'!AH39/'wgl tot'!H39&lt;tabellen!$E$53,0,(+'wgl tot'!AH39-tabellen!$E$53*'wgl tot'!H39)/12*tabellen!$D$53)</f>
        <v>#DIV/0!</v>
      </c>
      <c r="BR39" s="486" t="e">
        <f>IF('wgl tot'!AH39/'wgl tot'!H39&lt;tabellen!$E$54,0,(+'wgl tot'!AH39-tabellen!$E$54*'wgl tot'!H39)/12*tabellen!$D$54)</f>
        <v>#DIV/0!</v>
      </c>
      <c r="BS39" s="486">
        <f>'wgl tot'!AH39/12*tabellen!$D$55</f>
        <v>0</v>
      </c>
      <c r="BT39" s="487" t="e">
        <f t="shared" si="17"/>
        <v>#DIV/0!</v>
      </c>
      <c r="BU39" s="488" t="e">
        <f>+('wgl tot'!AF39+'wgl tot'!AI39)/12-'wgl tot'!BT39</f>
        <v>#DIV/0!</v>
      </c>
      <c r="BV39" s="488" t="e">
        <f>ROUND(IF('wgl tot'!BU39&gt;tabellen!$H$58,tabellen!$H$58,'wgl tot'!BU39)*tabellen!$C$58,2)</f>
        <v>#DIV/0!</v>
      </c>
      <c r="BW39" s="488" t="e">
        <f>+'wgl tot'!BU39+'wgl tot'!BV39</f>
        <v>#DIV/0!</v>
      </c>
      <c r="BX39" s="489">
        <f t="shared" si="6"/>
        <v>1900</v>
      </c>
      <c r="BY39" s="489">
        <f t="shared" si="7"/>
        <v>1</v>
      </c>
      <c r="BZ39" s="482">
        <f t="shared" si="8"/>
        <v>0</v>
      </c>
      <c r="CA39" s="480">
        <f t="shared" si="14"/>
        <v>22462</v>
      </c>
      <c r="CB39" s="480">
        <f t="shared" ca="1" si="15"/>
        <v>43103.670106134261</v>
      </c>
      <c r="CC39" s="474"/>
      <c r="CD39" s="480"/>
      <c r="CE39" s="474"/>
      <c r="CF39" s="485"/>
      <c r="CG39" s="485"/>
      <c r="CH39" s="485"/>
      <c r="CI39" s="485"/>
      <c r="CJ39" s="485"/>
      <c r="CK39" s="485"/>
    </row>
    <row r="40" spans="2:89" ht="13.5" customHeight="1" x14ac:dyDescent="0.2">
      <c r="B40" s="318"/>
      <c r="C40" s="336"/>
      <c r="D40" s="286"/>
      <c r="E40" s="287"/>
      <c r="F40" s="374"/>
      <c r="G40" s="288"/>
      <c r="H40" s="289"/>
      <c r="I40" s="288"/>
      <c r="J40" s="288"/>
      <c r="K40" s="288"/>
      <c r="L40" s="288"/>
      <c r="M40" s="288"/>
      <c r="N40" s="290"/>
      <c r="O40" s="336"/>
      <c r="P40" s="499">
        <f>IF(F40="",0,(VLOOKUP('wgl tot'!F40,salaristabellen,'wgl tot'!G40+1,FALSE)))</f>
        <v>0</v>
      </c>
      <c r="Q40" s="518">
        <f t="shared" si="0"/>
        <v>0</v>
      </c>
      <c r="R40" s="336"/>
      <c r="S40" s="493">
        <f>ROUND(IF(I40="j",VLOOKUP(BJ40,uitlooptoeslag,2,FALSE))*IF('wgl tot'!H40&gt;1,1,'wgl tot'!H40),2)</f>
        <v>0</v>
      </c>
      <c r="T40" s="493">
        <f>ROUND(IF(OR('wgl tot'!F40="LA",'wgl tot'!F40="LB"),IF(J40="j",tabellen!$C$79*'wgl tot'!H40,0),0),2)</f>
        <v>0</v>
      </c>
      <c r="U40" s="493">
        <f>ROUND(IF(('wgl tot'!Q40+'wgl tot'!S40+'wgl tot'!T40)*BL40&lt;'wgl tot'!H40*tabellen!$D$92,'wgl tot'!H40*tabellen!$D$92,('wgl tot'!Q40+'wgl tot'!S40+'wgl tot'!T40)*BL40),2)</f>
        <v>0</v>
      </c>
      <c r="V40" s="493">
        <f>ROUND(+('wgl tot'!Q40+'wgl tot'!S40+'wgl tot'!T40)*BM40,2)</f>
        <v>0</v>
      </c>
      <c r="W40" s="493">
        <f>+tabellen!$C$87*'wgl tot'!H40</f>
        <v>0</v>
      </c>
      <c r="X40" s="493">
        <f>VLOOKUP(BN40,eindejaarsuitkering_OOP,2,TRUE)*'wgl tot'!H40/12</f>
        <v>0</v>
      </c>
      <c r="Y40" s="493">
        <f>ROUND(IF(BO40="j",tabellen!$D$101*IF('wgl tot'!H40&gt;1,1,'wgl tot'!H40),0),2)</f>
        <v>0</v>
      </c>
      <c r="Z40" s="511">
        <f t="shared" si="9"/>
        <v>0</v>
      </c>
      <c r="AA40" s="338"/>
      <c r="AB40" s="339"/>
      <c r="AC40" s="492">
        <f t="shared" si="10"/>
        <v>0</v>
      </c>
      <c r="AD40" s="493">
        <f>ROUND(IF(L40="j",VLOOKUP(K40,bindingstoelage,2,FALSE))*IF('wgl tot'!H40&gt;1,1,'wgl tot'!H40),2)</f>
        <v>0</v>
      </c>
      <c r="AE40" s="493">
        <f>ROUND('wgl tot'!H40*tabellen!$D$99,2)</f>
        <v>0</v>
      </c>
      <c r="AF40" s="492">
        <f t="shared" si="11"/>
        <v>0</v>
      </c>
      <c r="AG40" s="336"/>
      <c r="AH40" s="492">
        <f t="shared" si="12"/>
        <v>0</v>
      </c>
      <c r="AI40" s="494">
        <f>IF('wgl tot'!E40&lt;1950,0,+('wgl tot'!Q40+'wgl tot'!S40+'wgl tot'!T40)*tabellen!$C$89)*12</f>
        <v>0</v>
      </c>
      <c r="AJ40" s="336"/>
      <c r="AK40" s="493">
        <f t="shared" si="1"/>
        <v>0</v>
      </c>
      <c r="AL40" s="493">
        <f>IF(F40="",0,(IF('wgl tot'!AH40/'wgl tot'!H40&lt;tabellen!$E$53,0,('wgl tot'!AH40-tabellen!$E$53*'wgl tot'!H40)/12)*tabellen!$C$53))</f>
        <v>0</v>
      </c>
      <c r="AM40" s="493">
        <f>IF(F40="",0,(IF('wgl tot'!AH40/'wgl tot'!H40&lt;tabellen!$E$54,0,(+'wgl tot'!AH40-tabellen!$E$54*'wgl tot'!H40)/12)*tabellen!$C$54))</f>
        <v>0</v>
      </c>
      <c r="AN40" s="493">
        <f>'wgl tot'!AH40/12*tabellen!$C$55</f>
        <v>0</v>
      </c>
      <c r="AO40" s="493">
        <f>IF(H40=0,0,IF(BU40&gt;tabellen!$G$56/12,tabellen!$G$56/12,BU40)*(tabellen!$C$56+tabellen!$C$57))</f>
        <v>0</v>
      </c>
      <c r="AP40" s="493">
        <f>IF(F40="",0,('wgl tot'!BV40))</f>
        <v>0</v>
      </c>
      <c r="AQ40" s="495">
        <f>IF(F40="",0,(IF('wgl tot'!BU40&gt;tabellen!$G$59*'wgl tot'!H40/12,tabellen!$G$59*'wgl tot'!H40/12,'wgl tot'!BU40)*tabellen!$C$59))</f>
        <v>0</v>
      </c>
      <c r="AR40" s="495">
        <f>IF(F40="",0,('wgl tot'!BU40*IF(N40=1,tabellen!$C$60,IF(N40=2,tabellen!C94,IF(N40=3,tabellen!$C$62,tabellen!$C$63)))))</f>
        <v>0</v>
      </c>
      <c r="AS40" s="495">
        <f>IF(F40="",0,('wgl tot'!BU40*tabellen!$C$64))</f>
        <v>0</v>
      </c>
      <c r="AT40" s="495">
        <f>+'wgl tot'!AI40/12</f>
        <v>0</v>
      </c>
      <c r="AU40" s="530">
        <v>0</v>
      </c>
      <c r="AV40" s="291">
        <f t="shared" si="2"/>
        <v>0</v>
      </c>
      <c r="AW40" s="515">
        <f t="shared" si="3"/>
        <v>0</v>
      </c>
      <c r="AX40" s="515">
        <f t="shared" si="13"/>
        <v>0</v>
      </c>
      <c r="AY40" s="336"/>
      <c r="AZ40" s="501" t="str">
        <f>IF(AW40=0,"",(+'wgl tot'!AW40/'wgl tot'!Q40-1))</f>
        <v/>
      </c>
      <c r="BA40" s="336"/>
      <c r="BB40" s="319"/>
      <c r="BE40" s="482">
        <f ca="1">YEAR('wgl tot'!$BE$10)-YEAR('wgl tot'!E40)</f>
        <v>118</v>
      </c>
      <c r="BF40" s="482">
        <f ca="1">MONTH('wgl tot'!$BE$10)-MONTH('wgl tot'!E40)</f>
        <v>0</v>
      </c>
      <c r="BG40" s="482">
        <f ca="1">DAY('wgl tot'!$BE$10)-DAY('wgl tot'!E40)</f>
        <v>3</v>
      </c>
      <c r="BH40" s="474">
        <f>IF(AND('wgl tot'!F40&gt;0,'wgl tot'!F40&lt;16),0,100)</f>
        <v>100</v>
      </c>
      <c r="BI40" s="474" t="e">
        <f>VLOOKUP('wgl tot'!F40,salaristabellen,22,FALSE)</f>
        <v>#N/A</v>
      </c>
      <c r="BJ40" s="474">
        <f t="shared" si="4"/>
        <v>0</v>
      </c>
      <c r="BK40" s="480">
        <v>42583</v>
      </c>
      <c r="BL40" s="483">
        <f t="shared" si="16"/>
        <v>0.08</v>
      </c>
      <c r="BM40" s="484">
        <f>+tabellen!$D$93</f>
        <v>6.3E-2</v>
      </c>
      <c r="BN40" s="482">
        <f>IF('wgl tot'!BH40=100,0,'wgl tot'!F40)</f>
        <v>0</v>
      </c>
      <c r="BO40" s="484" t="str">
        <f>IF(OR('wgl tot'!F40="DA",'wgl tot'!F40="DB",'wgl tot'!F40="DBuit",'wgl tot'!F40="DC",'wgl tot'!F40="DCuit",MID('wgl tot'!F40,1,5)="meerh"),"j","n")</f>
        <v>n</v>
      </c>
      <c r="BP40" s="485"/>
      <c r="BQ40" s="486" t="e">
        <f>IF('wgl tot'!AH40/'wgl tot'!H40&lt;tabellen!$E$53,0,(+'wgl tot'!AH40-tabellen!$E$53*'wgl tot'!H40)/12*tabellen!$D$53)</f>
        <v>#DIV/0!</v>
      </c>
      <c r="BR40" s="486" t="e">
        <f>IF('wgl tot'!AH40/'wgl tot'!H40&lt;tabellen!$E$54,0,(+'wgl tot'!AH40-tabellen!$E$54*'wgl tot'!H40)/12*tabellen!$D$54)</f>
        <v>#DIV/0!</v>
      </c>
      <c r="BS40" s="486">
        <f>'wgl tot'!AH40/12*tabellen!$D$55</f>
        <v>0</v>
      </c>
      <c r="BT40" s="487" t="e">
        <f t="shared" si="17"/>
        <v>#DIV/0!</v>
      </c>
      <c r="BU40" s="488" t="e">
        <f>+('wgl tot'!AF40+'wgl tot'!AI40)/12-'wgl tot'!BT40</f>
        <v>#DIV/0!</v>
      </c>
      <c r="BV40" s="488" t="e">
        <f>ROUND(IF('wgl tot'!BU40&gt;tabellen!$H$58,tabellen!$H$58,'wgl tot'!BU40)*tabellen!$C$58,2)</f>
        <v>#DIV/0!</v>
      </c>
      <c r="BW40" s="488" t="e">
        <f>+'wgl tot'!BU40+'wgl tot'!BV40</f>
        <v>#DIV/0!</v>
      </c>
      <c r="BX40" s="489">
        <f t="shared" si="6"/>
        <v>1900</v>
      </c>
      <c r="BY40" s="489">
        <f t="shared" si="7"/>
        <v>1</v>
      </c>
      <c r="BZ40" s="482">
        <f t="shared" si="8"/>
        <v>0</v>
      </c>
      <c r="CA40" s="480">
        <f t="shared" si="14"/>
        <v>22462</v>
      </c>
      <c r="CB40" s="480">
        <f t="shared" ca="1" si="15"/>
        <v>43103.670106134261</v>
      </c>
      <c r="CC40" s="474"/>
      <c r="CD40" s="480"/>
      <c r="CE40" s="474"/>
      <c r="CF40" s="485"/>
      <c r="CG40" s="485"/>
      <c r="CH40" s="485"/>
      <c r="CI40" s="485"/>
      <c r="CJ40" s="485"/>
      <c r="CK40" s="485"/>
    </row>
    <row r="41" spans="2:89" ht="13.5" customHeight="1" x14ac:dyDescent="0.2">
      <c r="B41" s="318"/>
      <c r="C41" s="336"/>
      <c r="D41" s="286"/>
      <c r="E41" s="287"/>
      <c r="F41" s="374"/>
      <c r="G41" s="288"/>
      <c r="H41" s="289"/>
      <c r="I41" s="288"/>
      <c r="J41" s="288"/>
      <c r="K41" s="288"/>
      <c r="L41" s="288"/>
      <c r="M41" s="288"/>
      <c r="N41" s="290"/>
      <c r="O41" s="336"/>
      <c r="P41" s="499">
        <f>IF(F41="",0,(VLOOKUP('wgl tot'!F41,salaristabellen,'wgl tot'!G41+1,FALSE)))</f>
        <v>0</v>
      </c>
      <c r="Q41" s="518">
        <f t="shared" si="0"/>
        <v>0</v>
      </c>
      <c r="R41" s="336"/>
      <c r="S41" s="493">
        <f>ROUND(IF(I41="j",VLOOKUP(BJ41,uitlooptoeslag,2,FALSE))*IF('wgl tot'!H41&gt;1,1,'wgl tot'!H41),2)</f>
        <v>0</v>
      </c>
      <c r="T41" s="493">
        <f>ROUND(IF(OR('wgl tot'!F41="LA",'wgl tot'!F41="LB"),IF(J41="j",tabellen!$C$79*'wgl tot'!H41,0),0),2)</f>
        <v>0</v>
      </c>
      <c r="U41" s="493">
        <f>ROUND(IF(('wgl tot'!Q41+'wgl tot'!S41+'wgl tot'!T41)*BL41&lt;'wgl tot'!H41*tabellen!$D$92,'wgl tot'!H41*tabellen!$D$92,('wgl tot'!Q41+'wgl tot'!S41+'wgl tot'!T41)*BL41),2)</f>
        <v>0</v>
      </c>
      <c r="V41" s="493">
        <f>ROUND(+('wgl tot'!Q41+'wgl tot'!S41+'wgl tot'!T41)*BM41,2)</f>
        <v>0</v>
      </c>
      <c r="W41" s="493">
        <f>+tabellen!$C$87*'wgl tot'!H41</f>
        <v>0</v>
      </c>
      <c r="X41" s="493">
        <f>VLOOKUP(BN41,eindejaarsuitkering_OOP,2,TRUE)*'wgl tot'!H41/12</f>
        <v>0</v>
      </c>
      <c r="Y41" s="493">
        <f>ROUND(IF(BO41="j",tabellen!$D$101*IF('wgl tot'!H41&gt;1,1,'wgl tot'!H41),0),2)</f>
        <v>0</v>
      </c>
      <c r="Z41" s="511">
        <f t="shared" si="9"/>
        <v>0</v>
      </c>
      <c r="AA41" s="338"/>
      <c r="AB41" s="339"/>
      <c r="AC41" s="492">
        <f t="shared" si="10"/>
        <v>0</v>
      </c>
      <c r="AD41" s="493">
        <f>ROUND(IF(L41="j",VLOOKUP(K41,bindingstoelage,2,FALSE))*IF('wgl tot'!H41&gt;1,1,'wgl tot'!H41),2)</f>
        <v>0</v>
      </c>
      <c r="AE41" s="493">
        <f>ROUND('wgl tot'!H41*tabellen!$D$99,2)</f>
        <v>0</v>
      </c>
      <c r="AF41" s="492">
        <f t="shared" si="11"/>
        <v>0</v>
      </c>
      <c r="AG41" s="336"/>
      <c r="AH41" s="492">
        <f t="shared" si="12"/>
        <v>0</v>
      </c>
      <c r="AI41" s="494">
        <f>IF('wgl tot'!E41&lt;1950,0,+('wgl tot'!Q41+'wgl tot'!S41+'wgl tot'!T41)*tabellen!$C$89)*12</f>
        <v>0</v>
      </c>
      <c r="AJ41" s="336"/>
      <c r="AK41" s="493">
        <f t="shared" si="1"/>
        <v>0</v>
      </c>
      <c r="AL41" s="493">
        <f>IF(F41="",0,(IF('wgl tot'!AH41/'wgl tot'!H41&lt;tabellen!$E$53,0,('wgl tot'!AH41-tabellen!$E$53*'wgl tot'!H41)/12)*tabellen!$C$53))</f>
        <v>0</v>
      </c>
      <c r="AM41" s="493">
        <f>IF(F41="",0,(IF('wgl tot'!AH41/'wgl tot'!H41&lt;tabellen!$E$54,0,(+'wgl tot'!AH41-tabellen!$E$54*'wgl tot'!H41)/12)*tabellen!$C$54))</f>
        <v>0</v>
      </c>
      <c r="AN41" s="493">
        <f>'wgl tot'!AH41/12*tabellen!$C$55</f>
        <v>0</v>
      </c>
      <c r="AO41" s="493">
        <f>IF(H41=0,0,IF(BU41&gt;tabellen!$G$56/12,tabellen!$G$56/12,BU41)*(tabellen!$C$56+tabellen!$C$57))</f>
        <v>0</v>
      </c>
      <c r="AP41" s="493">
        <f>IF(F41="",0,('wgl tot'!BV41))</f>
        <v>0</v>
      </c>
      <c r="AQ41" s="495">
        <f>IF(F41="",0,(IF('wgl tot'!BU41&gt;tabellen!$G$59*'wgl tot'!H41/12,tabellen!$G$59*'wgl tot'!H41/12,'wgl tot'!BU41)*tabellen!$C$59))</f>
        <v>0</v>
      </c>
      <c r="AR41" s="495">
        <f>IF(F41="",0,('wgl tot'!BU41*IF(N41=1,tabellen!$C$60,IF(N41=2,tabellen!C95,IF(N41=3,tabellen!$C$62,tabellen!$C$63)))))</f>
        <v>0</v>
      </c>
      <c r="AS41" s="495">
        <f>IF(F41="",0,('wgl tot'!BU41*tabellen!$C$64))</f>
        <v>0</v>
      </c>
      <c r="AT41" s="495">
        <f>+'wgl tot'!AI41/12</f>
        <v>0</v>
      </c>
      <c r="AU41" s="530">
        <v>0</v>
      </c>
      <c r="AV41" s="291">
        <f t="shared" si="2"/>
        <v>0</v>
      </c>
      <c r="AW41" s="515">
        <f t="shared" si="3"/>
        <v>0</v>
      </c>
      <c r="AX41" s="515">
        <f t="shared" si="13"/>
        <v>0</v>
      </c>
      <c r="AY41" s="336"/>
      <c r="AZ41" s="501" t="str">
        <f>IF(AW41=0,"",(+'wgl tot'!AW41/'wgl tot'!Q41-1))</f>
        <v/>
      </c>
      <c r="BA41" s="336"/>
      <c r="BB41" s="319"/>
      <c r="BE41" s="482">
        <f ca="1">YEAR('wgl tot'!$BE$10)-YEAR('wgl tot'!E41)</f>
        <v>118</v>
      </c>
      <c r="BF41" s="482">
        <f ca="1">MONTH('wgl tot'!$BE$10)-MONTH('wgl tot'!E41)</f>
        <v>0</v>
      </c>
      <c r="BG41" s="482">
        <f ca="1">DAY('wgl tot'!$BE$10)-DAY('wgl tot'!E41)</f>
        <v>3</v>
      </c>
      <c r="BH41" s="474">
        <f>IF(AND('wgl tot'!F41&gt;0,'wgl tot'!F41&lt;16),0,100)</f>
        <v>100</v>
      </c>
      <c r="BI41" s="474" t="e">
        <f>VLOOKUP('wgl tot'!F41,salaristabellen,22,FALSE)</f>
        <v>#N/A</v>
      </c>
      <c r="BJ41" s="474">
        <f t="shared" si="4"/>
        <v>0</v>
      </c>
      <c r="BK41" s="480">
        <v>42583</v>
      </c>
      <c r="BL41" s="483">
        <f t="shared" si="16"/>
        <v>0.08</v>
      </c>
      <c r="BM41" s="484">
        <f>+tabellen!$D$93</f>
        <v>6.3E-2</v>
      </c>
      <c r="BN41" s="482">
        <f>IF('wgl tot'!BH41=100,0,'wgl tot'!F41)</f>
        <v>0</v>
      </c>
      <c r="BO41" s="484" t="str">
        <f>IF(OR('wgl tot'!F41="DA",'wgl tot'!F41="DB",'wgl tot'!F41="DBuit",'wgl tot'!F41="DC",'wgl tot'!F41="DCuit",MID('wgl tot'!F41,1,5)="meerh"),"j","n")</f>
        <v>n</v>
      </c>
      <c r="BP41" s="485"/>
      <c r="BQ41" s="486" t="e">
        <f>IF('wgl tot'!AH41/'wgl tot'!H41&lt;tabellen!$E$53,0,(+'wgl tot'!AH41-tabellen!$E$53*'wgl tot'!H41)/12*tabellen!$D$53)</f>
        <v>#DIV/0!</v>
      </c>
      <c r="BR41" s="486" t="e">
        <f>IF('wgl tot'!AH41/'wgl tot'!H41&lt;tabellen!$E$54,0,(+'wgl tot'!AH41-tabellen!$E$54*'wgl tot'!H41)/12*tabellen!$D$54)</f>
        <v>#DIV/0!</v>
      </c>
      <c r="BS41" s="486">
        <f>'wgl tot'!AH41/12*tabellen!$D$55</f>
        <v>0</v>
      </c>
      <c r="BT41" s="487" t="e">
        <f t="shared" si="17"/>
        <v>#DIV/0!</v>
      </c>
      <c r="BU41" s="488" t="e">
        <f>+('wgl tot'!AF41+'wgl tot'!AI41)/12-'wgl tot'!BT41</f>
        <v>#DIV/0!</v>
      </c>
      <c r="BV41" s="488" t="e">
        <f>ROUND(IF('wgl tot'!BU41&gt;tabellen!$H$58,tabellen!$H$58,'wgl tot'!BU41)*tabellen!$C$58,2)</f>
        <v>#DIV/0!</v>
      </c>
      <c r="BW41" s="488" t="e">
        <f>+'wgl tot'!BU41+'wgl tot'!BV41</f>
        <v>#DIV/0!</v>
      </c>
      <c r="BX41" s="489">
        <f t="shared" si="6"/>
        <v>1900</v>
      </c>
      <c r="BY41" s="489">
        <f t="shared" si="7"/>
        <v>1</v>
      </c>
      <c r="BZ41" s="482">
        <f t="shared" si="8"/>
        <v>0</v>
      </c>
      <c r="CA41" s="480">
        <f t="shared" si="14"/>
        <v>22462</v>
      </c>
      <c r="CB41" s="480">
        <f t="shared" ca="1" si="15"/>
        <v>43103.670106134261</v>
      </c>
      <c r="CC41" s="474"/>
      <c r="CD41" s="480"/>
      <c r="CE41" s="474"/>
      <c r="CF41" s="485"/>
      <c r="CG41" s="485"/>
      <c r="CH41" s="485"/>
      <c r="CI41" s="485"/>
      <c r="CJ41" s="485"/>
      <c r="CK41" s="485"/>
    </row>
    <row r="42" spans="2:89" ht="13.5" customHeight="1" x14ac:dyDescent="0.2">
      <c r="B42" s="318"/>
      <c r="C42" s="336"/>
      <c r="D42" s="286"/>
      <c r="E42" s="287"/>
      <c r="F42" s="374"/>
      <c r="G42" s="288"/>
      <c r="H42" s="289"/>
      <c r="I42" s="288"/>
      <c r="J42" s="288"/>
      <c r="K42" s="288"/>
      <c r="L42" s="288"/>
      <c r="M42" s="288"/>
      <c r="N42" s="290"/>
      <c r="O42" s="336"/>
      <c r="P42" s="499">
        <f>IF(F42="",0,(VLOOKUP('wgl tot'!F42,salaristabellen,'wgl tot'!G42+1,FALSE)))</f>
        <v>0</v>
      </c>
      <c r="Q42" s="518">
        <f t="shared" si="0"/>
        <v>0</v>
      </c>
      <c r="R42" s="336"/>
      <c r="S42" s="493">
        <f>ROUND(IF(I42="j",VLOOKUP(BJ42,uitlooptoeslag,2,FALSE))*IF('wgl tot'!H42&gt;1,1,'wgl tot'!H42),2)</f>
        <v>0</v>
      </c>
      <c r="T42" s="493">
        <f>ROUND(IF(OR('wgl tot'!F42="LA",'wgl tot'!F42="LB"),IF(J42="j",tabellen!$C$79*'wgl tot'!H42,0),0),2)</f>
        <v>0</v>
      </c>
      <c r="U42" s="493">
        <f>ROUND(IF(('wgl tot'!Q42+'wgl tot'!S42+'wgl tot'!T42)*BL42&lt;'wgl tot'!H42*tabellen!$D$92,'wgl tot'!H42*tabellen!$D$92,('wgl tot'!Q42+'wgl tot'!S42+'wgl tot'!T42)*BL42),2)</f>
        <v>0</v>
      </c>
      <c r="V42" s="493">
        <f>ROUND(+('wgl tot'!Q42+'wgl tot'!S42+'wgl tot'!T42)*BM42,2)</f>
        <v>0</v>
      </c>
      <c r="W42" s="493">
        <f>+tabellen!$C$87*'wgl tot'!H42</f>
        <v>0</v>
      </c>
      <c r="X42" s="493">
        <f>VLOOKUP(BN42,eindejaarsuitkering_OOP,2,TRUE)*'wgl tot'!H42/12</f>
        <v>0</v>
      </c>
      <c r="Y42" s="493">
        <f>ROUND(IF(BO42="j",tabellen!$D$101*IF('wgl tot'!H42&gt;1,1,'wgl tot'!H42),0),2)</f>
        <v>0</v>
      </c>
      <c r="Z42" s="511">
        <f t="shared" si="9"/>
        <v>0</v>
      </c>
      <c r="AA42" s="338"/>
      <c r="AB42" s="339"/>
      <c r="AC42" s="492">
        <f t="shared" si="10"/>
        <v>0</v>
      </c>
      <c r="AD42" s="493">
        <f>ROUND(IF(L42="j",VLOOKUP(K42,bindingstoelage,2,FALSE))*IF('wgl tot'!H42&gt;1,1,'wgl tot'!H42),2)</f>
        <v>0</v>
      </c>
      <c r="AE42" s="493">
        <f>ROUND('wgl tot'!H42*tabellen!$D$99,2)</f>
        <v>0</v>
      </c>
      <c r="AF42" s="492">
        <f t="shared" si="11"/>
        <v>0</v>
      </c>
      <c r="AG42" s="336"/>
      <c r="AH42" s="492">
        <f t="shared" si="12"/>
        <v>0</v>
      </c>
      <c r="AI42" s="494">
        <f>IF('wgl tot'!E42&lt;1950,0,+('wgl tot'!Q42+'wgl tot'!S42+'wgl tot'!T42)*tabellen!$C$89)*12</f>
        <v>0</v>
      </c>
      <c r="AJ42" s="336"/>
      <c r="AK42" s="493">
        <f t="shared" si="1"/>
        <v>0</v>
      </c>
      <c r="AL42" s="493">
        <f>IF(F42="",0,(IF('wgl tot'!AH42/'wgl tot'!H42&lt;tabellen!$E$53,0,('wgl tot'!AH42-tabellen!$E$53*'wgl tot'!H42)/12)*tabellen!$C$53))</f>
        <v>0</v>
      </c>
      <c r="AM42" s="493">
        <f>IF(F42="",0,(IF('wgl tot'!AH42/'wgl tot'!H42&lt;tabellen!$E$54,0,(+'wgl tot'!AH42-tabellen!$E$54*'wgl tot'!H42)/12)*tabellen!$C$54))</f>
        <v>0</v>
      </c>
      <c r="AN42" s="493">
        <f>'wgl tot'!AH42/12*tabellen!$C$55</f>
        <v>0</v>
      </c>
      <c r="AO42" s="493">
        <f>IF(H42=0,0,IF(BU42&gt;tabellen!$G$56/12,tabellen!$G$56/12,BU42)*(tabellen!$C$56+tabellen!$C$57))</f>
        <v>0</v>
      </c>
      <c r="AP42" s="493">
        <f>IF(F42="",0,('wgl tot'!BV42))</f>
        <v>0</v>
      </c>
      <c r="AQ42" s="495">
        <f>IF(F42="",0,(IF('wgl tot'!BU42&gt;tabellen!$G$59*'wgl tot'!H42/12,tabellen!$G$59*'wgl tot'!H42/12,'wgl tot'!BU42)*tabellen!$C$59))</f>
        <v>0</v>
      </c>
      <c r="AR42" s="495">
        <f>IF(F42="",0,('wgl tot'!BU42*IF(N42=1,tabellen!$C$60,IF(N42=2,tabellen!C96,IF(N42=3,tabellen!$C$62,tabellen!$C$63)))))</f>
        <v>0</v>
      </c>
      <c r="AS42" s="495">
        <f>IF(F42="",0,('wgl tot'!BU42*tabellen!$C$64))</f>
        <v>0</v>
      </c>
      <c r="AT42" s="495">
        <f>+'wgl tot'!AI42/12</f>
        <v>0</v>
      </c>
      <c r="AU42" s="530">
        <v>0</v>
      </c>
      <c r="AV42" s="291">
        <f t="shared" si="2"/>
        <v>0</v>
      </c>
      <c r="AW42" s="515">
        <f t="shared" si="3"/>
        <v>0</v>
      </c>
      <c r="AX42" s="515">
        <f t="shared" si="13"/>
        <v>0</v>
      </c>
      <c r="AY42" s="336"/>
      <c r="AZ42" s="501" t="str">
        <f>IF(AW42=0,"",(+'wgl tot'!AW42/'wgl tot'!Q42-1))</f>
        <v/>
      </c>
      <c r="BA42" s="336"/>
      <c r="BB42" s="319"/>
      <c r="BE42" s="482">
        <f ca="1">YEAR('wgl tot'!$BE$10)-YEAR('wgl tot'!E42)</f>
        <v>118</v>
      </c>
      <c r="BF42" s="482">
        <f ca="1">MONTH('wgl tot'!$BE$10)-MONTH('wgl tot'!E42)</f>
        <v>0</v>
      </c>
      <c r="BG42" s="482">
        <f ca="1">DAY('wgl tot'!$BE$10)-DAY('wgl tot'!E42)</f>
        <v>3</v>
      </c>
      <c r="BH42" s="474">
        <f>IF(AND('wgl tot'!F42&gt;0,'wgl tot'!F42&lt;16),0,100)</f>
        <v>100</v>
      </c>
      <c r="BI42" s="474" t="e">
        <f>VLOOKUP('wgl tot'!F42,salaristabellen,22,FALSE)</f>
        <v>#N/A</v>
      </c>
      <c r="BJ42" s="474">
        <f t="shared" si="4"/>
        <v>0</v>
      </c>
      <c r="BK42" s="480">
        <v>42583</v>
      </c>
      <c r="BL42" s="483">
        <f t="shared" si="16"/>
        <v>0.08</v>
      </c>
      <c r="BM42" s="484">
        <f>+tabellen!$D$93</f>
        <v>6.3E-2</v>
      </c>
      <c r="BN42" s="482">
        <f>IF('wgl tot'!BH42=100,0,'wgl tot'!F42)</f>
        <v>0</v>
      </c>
      <c r="BO42" s="484" t="str">
        <f>IF(OR('wgl tot'!F42="DA",'wgl tot'!F42="DB",'wgl tot'!F42="DBuit",'wgl tot'!F42="DC",'wgl tot'!F42="DCuit",MID('wgl tot'!F42,1,5)="meerh"),"j","n")</f>
        <v>n</v>
      </c>
      <c r="BP42" s="485"/>
      <c r="BQ42" s="486" t="e">
        <f>IF('wgl tot'!AH42/'wgl tot'!H42&lt;tabellen!$E$53,0,(+'wgl tot'!AH42-tabellen!$E$53*'wgl tot'!H42)/12*tabellen!$D$53)</f>
        <v>#DIV/0!</v>
      </c>
      <c r="BR42" s="486" t="e">
        <f>IF('wgl tot'!AH42/'wgl tot'!H42&lt;tabellen!$E$54,0,(+'wgl tot'!AH42-tabellen!$E$54*'wgl tot'!H42)/12*tabellen!$D$54)</f>
        <v>#DIV/0!</v>
      </c>
      <c r="BS42" s="486">
        <f>'wgl tot'!AH42/12*tabellen!$D$55</f>
        <v>0</v>
      </c>
      <c r="BT42" s="487" t="e">
        <f t="shared" si="17"/>
        <v>#DIV/0!</v>
      </c>
      <c r="BU42" s="488" t="e">
        <f>+('wgl tot'!AF42+'wgl tot'!AI42)/12-'wgl tot'!BT42</f>
        <v>#DIV/0!</v>
      </c>
      <c r="BV42" s="488" t="e">
        <f>ROUND(IF('wgl tot'!BU42&gt;tabellen!$H$58,tabellen!$H$58,'wgl tot'!BU42)*tabellen!$C$58,2)</f>
        <v>#DIV/0!</v>
      </c>
      <c r="BW42" s="488" t="e">
        <f>+'wgl tot'!BU42+'wgl tot'!BV42</f>
        <v>#DIV/0!</v>
      </c>
      <c r="BX42" s="489">
        <f t="shared" si="6"/>
        <v>1900</v>
      </c>
      <c r="BY42" s="489">
        <f t="shared" si="7"/>
        <v>1</v>
      </c>
      <c r="BZ42" s="482">
        <f t="shared" si="8"/>
        <v>0</v>
      </c>
      <c r="CA42" s="480">
        <f t="shared" si="14"/>
        <v>22462</v>
      </c>
      <c r="CB42" s="480">
        <f t="shared" ca="1" si="15"/>
        <v>43103.670106134261</v>
      </c>
      <c r="CC42" s="474"/>
      <c r="CD42" s="480"/>
      <c r="CE42" s="474"/>
      <c r="CF42" s="485"/>
      <c r="CG42" s="485"/>
      <c r="CH42" s="485"/>
      <c r="CI42" s="485"/>
      <c r="CJ42" s="485"/>
      <c r="CK42" s="485"/>
    </row>
    <row r="43" spans="2:89" ht="13.5" customHeight="1" x14ac:dyDescent="0.2">
      <c r="B43" s="318"/>
      <c r="C43" s="336"/>
      <c r="D43" s="286"/>
      <c r="E43" s="287"/>
      <c r="F43" s="374"/>
      <c r="G43" s="288"/>
      <c r="H43" s="289"/>
      <c r="I43" s="288"/>
      <c r="J43" s="288"/>
      <c r="K43" s="288"/>
      <c r="L43" s="288"/>
      <c r="M43" s="288"/>
      <c r="N43" s="290"/>
      <c r="O43" s="336"/>
      <c r="P43" s="499">
        <f>IF(F43="",0,(VLOOKUP('wgl tot'!F43,salaristabellen,'wgl tot'!G43+1,FALSE)))</f>
        <v>0</v>
      </c>
      <c r="Q43" s="518">
        <f t="shared" si="0"/>
        <v>0</v>
      </c>
      <c r="R43" s="336"/>
      <c r="S43" s="493">
        <f>ROUND(IF(I43="j",VLOOKUP(BJ43,uitlooptoeslag,2,FALSE))*IF('wgl tot'!H43&gt;1,1,'wgl tot'!H43),2)</f>
        <v>0</v>
      </c>
      <c r="T43" s="493">
        <f>ROUND(IF(OR('wgl tot'!F43="LA",'wgl tot'!F43="LB"),IF(J43="j",tabellen!$C$79*'wgl tot'!H43,0),0),2)</f>
        <v>0</v>
      </c>
      <c r="U43" s="493">
        <f>ROUND(IF(('wgl tot'!Q43+'wgl tot'!S43+'wgl tot'!T43)*BL43&lt;'wgl tot'!H43*tabellen!$D$92,'wgl tot'!H43*tabellen!$D$92,('wgl tot'!Q43+'wgl tot'!S43+'wgl tot'!T43)*BL43),2)</f>
        <v>0</v>
      </c>
      <c r="V43" s="493">
        <f>ROUND(+('wgl tot'!Q43+'wgl tot'!S43+'wgl tot'!T43)*BM43,2)</f>
        <v>0</v>
      </c>
      <c r="W43" s="493">
        <f>+tabellen!$C$87*'wgl tot'!H43</f>
        <v>0</v>
      </c>
      <c r="X43" s="493">
        <f>VLOOKUP(BN43,eindejaarsuitkering_OOP,2,TRUE)*'wgl tot'!H43/12</f>
        <v>0</v>
      </c>
      <c r="Y43" s="493">
        <f>ROUND(IF(BO43="j",tabellen!$D$101*IF('wgl tot'!H43&gt;1,1,'wgl tot'!H43),0),2)</f>
        <v>0</v>
      </c>
      <c r="Z43" s="511">
        <f t="shared" si="9"/>
        <v>0</v>
      </c>
      <c r="AA43" s="338"/>
      <c r="AB43" s="339"/>
      <c r="AC43" s="492">
        <f t="shared" si="10"/>
        <v>0</v>
      </c>
      <c r="AD43" s="493">
        <f>ROUND(IF(L43="j",VLOOKUP(K43,bindingstoelage,2,FALSE))*IF('wgl tot'!H43&gt;1,1,'wgl tot'!H43),2)</f>
        <v>0</v>
      </c>
      <c r="AE43" s="493">
        <f>ROUND('wgl tot'!H43*tabellen!$D$99,2)</f>
        <v>0</v>
      </c>
      <c r="AF43" s="492">
        <f t="shared" si="11"/>
        <v>0</v>
      </c>
      <c r="AG43" s="336"/>
      <c r="AH43" s="492">
        <f t="shared" si="12"/>
        <v>0</v>
      </c>
      <c r="AI43" s="494">
        <f>IF('wgl tot'!E43&lt;1950,0,+('wgl tot'!Q43+'wgl tot'!S43+'wgl tot'!T43)*tabellen!$C$89)*12</f>
        <v>0</v>
      </c>
      <c r="AJ43" s="336"/>
      <c r="AK43" s="493">
        <f t="shared" si="1"/>
        <v>0</v>
      </c>
      <c r="AL43" s="493">
        <f>IF(F43="",0,(IF('wgl tot'!AH43/'wgl tot'!H43&lt;tabellen!$E$53,0,('wgl tot'!AH43-tabellen!$E$53*'wgl tot'!H43)/12)*tabellen!$C$53))</f>
        <v>0</v>
      </c>
      <c r="AM43" s="493">
        <f>IF(F43="",0,(IF('wgl tot'!AH43/'wgl tot'!H43&lt;tabellen!$E$54,0,(+'wgl tot'!AH43-tabellen!$E$54*'wgl tot'!H43)/12)*tabellen!$C$54))</f>
        <v>0</v>
      </c>
      <c r="AN43" s="493">
        <f>'wgl tot'!AH43/12*tabellen!$C$55</f>
        <v>0</v>
      </c>
      <c r="AO43" s="493">
        <f>IF(H43=0,0,IF(BU43&gt;tabellen!$G$56/12,tabellen!$G$56/12,BU43)*(tabellen!$C$56+tabellen!$C$57))</f>
        <v>0</v>
      </c>
      <c r="AP43" s="493">
        <f>IF(F43="",0,('wgl tot'!BV43))</f>
        <v>0</v>
      </c>
      <c r="AQ43" s="495">
        <f>IF(F43="",0,(IF('wgl tot'!BU43&gt;tabellen!$G$59*'wgl tot'!H43/12,tabellen!$G$59*'wgl tot'!H43/12,'wgl tot'!BU43)*tabellen!$C$59))</f>
        <v>0</v>
      </c>
      <c r="AR43" s="495">
        <f>IF(F43="",0,('wgl tot'!BU43*IF(N43=1,tabellen!$C$60,IF(N43=2,tabellen!C97,IF(N43=3,tabellen!$C$62,tabellen!$C$63)))))</f>
        <v>0</v>
      </c>
      <c r="AS43" s="495">
        <f>IF(F43="",0,('wgl tot'!BU43*tabellen!$C$64))</f>
        <v>0</v>
      </c>
      <c r="AT43" s="495">
        <f>+'wgl tot'!AI43/12</f>
        <v>0</v>
      </c>
      <c r="AU43" s="530">
        <v>0</v>
      </c>
      <c r="AV43" s="291">
        <f t="shared" si="2"/>
        <v>0</v>
      </c>
      <c r="AW43" s="515">
        <f t="shared" si="3"/>
        <v>0</v>
      </c>
      <c r="AX43" s="515">
        <f t="shared" si="13"/>
        <v>0</v>
      </c>
      <c r="AY43" s="336"/>
      <c r="AZ43" s="501" t="str">
        <f>IF(AW43=0,"",(+'wgl tot'!AW43/'wgl tot'!Q43-1))</f>
        <v/>
      </c>
      <c r="BA43" s="336"/>
      <c r="BB43" s="319"/>
      <c r="BE43" s="482">
        <f ca="1">YEAR('wgl tot'!$BE$10)-YEAR('wgl tot'!E43)</f>
        <v>118</v>
      </c>
      <c r="BF43" s="482">
        <f ca="1">MONTH('wgl tot'!$BE$10)-MONTH('wgl tot'!E43)</f>
        <v>0</v>
      </c>
      <c r="BG43" s="482">
        <f ca="1">DAY('wgl tot'!$BE$10)-DAY('wgl tot'!E43)</f>
        <v>3</v>
      </c>
      <c r="BH43" s="474">
        <f>IF(AND('wgl tot'!F43&gt;0,'wgl tot'!F43&lt;16),0,100)</f>
        <v>100</v>
      </c>
      <c r="BI43" s="474" t="e">
        <f>VLOOKUP('wgl tot'!F43,salaristabellen,22,FALSE)</f>
        <v>#N/A</v>
      </c>
      <c r="BJ43" s="474">
        <f t="shared" si="4"/>
        <v>0</v>
      </c>
      <c r="BK43" s="480">
        <v>42583</v>
      </c>
      <c r="BL43" s="483">
        <f t="shared" si="16"/>
        <v>0.08</v>
      </c>
      <c r="BM43" s="484">
        <f>+tabellen!$D$93</f>
        <v>6.3E-2</v>
      </c>
      <c r="BN43" s="482">
        <f>IF('wgl tot'!BH43=100,0,'wgl tot'!F43)</f>
        <v>0</v>
      </c>
      <c r="BO43" s="484" t="str">
        <f>IF(OR('wgl tot'!F43="DA",'wgl tot'!F43="DB",'wgl tot'!F43="DBuit",'wgl tot'!F43="DC",'wgl tot'!F43="DCuit",MID('wgl tot'!F43,1,5)="meerh"),"j","n")</f>
        <v>n</v>
      </c>
      <c r="BP43" s="485"/>
      <c r="BQ43" s="486" t="e">
        <f>IF('wgl tot'!AH43/'wgl tot'!H43&lt;tabellen!$E$53,0,(+'wgl tot'!AH43-tabellen!$E$53*'wgl tot'!H43)/12*tabellen!$D$53)</f>
        <v>#DIV/0!</v>
      </c>
      <c r="BR43" s="486" t="e">
        <f>IF('wgl tot'!AH43/'wgl tot'!H43&lt;tabellen!$E$54,0,(+'wgl tot'!AH43-tabellen!$E$54*'wgl tot'!H43)/12*tabellen!$D$54)</f>
        <v>#DIV/0!</v>
      </c>
      <c r="BS43" s="486">
        <f>'wgl tot'!AH43/12*tabellen!$D$55</f>
        <v>0</v>
      </c>
      <c r="BT43" s="487" t="e">
        <f t="shared" si="17"/>
        <v>#DIV/0!</v>
      </c>
      <c r="BU43" s="488" t="e">
        <f>+('wgl tot'!AF43+'wgl tot'!AI43)/12-'wgl tot'!BT43</f>
        <v>#DIV/0!</v>
      </c>
      <c r="BV43" s="488" t="e">
        <f>ROUND(IF('wgl tot'!BU43&gt;tabellen!$H$58,tabellen!$H$58,'wgl tot'!BU43)*tabellen!$C$58,2)</f>
        <v>#DIV/0!</v>
      </c>
      <c r="BW43" s="488" t="e">
        <f>+'wgl tot'!BU43+'wgl tot'!BV43</f>
        <v>#DIV/0!</v>
      </c>
      <c r="BX43" s="489">
        <f t="shared" si="6"/>
        <v>1900</v>
      </c>
      <c r="BY43" s="489">
        <f t="shared" si="7"/>
        <v>1</v>
      </c>
      <c r="BZ43" s="482">
        <f t="shared" si="8"/>
        <v>0</v>
      </c>
      <c r="CA43" s="480">
        <f t="shared" si="14"/>
        <v>22462</v>
      </c>
      <c r="CB43" s="480">
        <f t="shared" ca="1" si="15"/>
        <v>43103.670106134261</v>
      </c>
      <c r="CC43" s="474"/>
      <c r="CD43" s="480"/>
      <c r="CE43" s="474"/>
      <c r="CF43" s="485"/>
      <c r="CG43" s="485"/>
      <c r="CH43" s="485"/>
      <c r="CI43" s="485"/>
      <c r="CJ43" s="485"/>
      <c r="CK43" s="485"/>
    </row>
    <row r="44" spans="2:89" ht="13.5" customHeight="1" x14ac:dyDescent="0.2">
      <c r="B44" s="318"/>
      <c r="C44" s="336"/>
      <c r="D44" s="286"/>
      <c r="E44" s="287"/>
      <c r="F44" s="374"/>
      <c r="G44" s="288"/>
      <c r="H44" s="289"/>
      <c r="I44" s="288"/>
      <c r="J44" s="288"/>
      <c r="K44" s="288"/>
      <c r="L44" s="288"/>
      <c r="M44" s="288"/>
      <c r="N44" s="290"/>
      <c r="O44" s="336"/>
      <c r="P44" s="499">
        <f>IF(F44="",0,(VLOOKUP('wgl tot'!F44,salaristabellen,'wgl tot'!G44+1,FALSE)))</f>
        <v>0</v>
      </c>
      <c r="Q44" s="518">
        <f t="shared" si="0"/>
        <v>0</v>
      </c>
      <c r="R44" s="336"/>
      <c r="S44" s="493">
        <f>ROUND(IF(I44="j",VLOOKUP(BJ44,uitlooptoeslag,2,FALSE))*IF('wgl tot'!H44&gt;1,1,'wgl tot'!H44),2)</f>
        <v>0</v>
      </c>
      <c r="T44" s="493">
        <f>ROUND(IF(OR('wgl tot'!F44="LA",'wgl tot'!F44="LB"),IF(J44="j",tabellen!$C$79*'wgl tot'!H44,0),0),2)</f>
        <v>0</v>
      </c>
      <c r="U44" s="493">
        <f>ROUND(IF(('wgl tot'!Q44+'wgl tot'!S44+'wgl tot'!T44)*BL44&lt;'wgl tot'!H44*tabellen!$D$92,'wgl tot'!H44*tabellen!$D$92,('wgl tot'!Q44+'wgl tot'!S44+'wgl tot'!T44)*BL44),2)</f>
        <v>0</v>
      </c>
      <c r="V44" s="493">
        <f>ROUND(+('wgl tot'!Q44+'wgl tot'!S44+'wgl tot'!T44)*BM44,2)</f>
        <v>0</v>
      </c>
      <c r="W44" s="493">
        <f>+tabellen!$C$87*'wgl tot'!H44</f>
        <v>0</v>
      </c>
      <c r="X44" s="493">
        <f>VLOOKUP(BN44,eindejaarsuitkering_OOP,2,TRUE)*'wgl tot'!H44/12</f>
        <v>0</v>
      </c>
      <c r="Y44" s="493">
        <f>ROUND(IF(BO44="j",tabellen!$D$101*IF('wgl tot'!H44&gt;1,1,'wgl tot'!H44),0),2)</f>
        <v>0</v>
      </c>
      <c r="Z44" s="511">
        <f t="shared" si="9"/>
        <v>0</v>
      </c>
      <c r="AA44" s="338"/>
      <c r="AB44" s="339"/>
      <c r="AC44" s="492">
        <f t="shared" si="10"/>
        <v>0</v>
      </c>
      <c r="AD44" s="493">
        <f>ROUND(IF(L44="j",VLOOKUP(K44,bindingstoelage,2,FALSE))*IF('wgl tot'!H44&gt;1,1,'wgl tot'!H44),2)</f>
        <v>0</v>
      </c>
      <c r="AE44" s="493">
        <f>ROUND('wgl tot'!H44*tabellen!$D$99,2)</f>
        <v>0</v>
      </c>
      <c r="AF44" s="492">
        <f t="shared" si="11"/>
        <v>0</v>
      </c>
      <c r="AG44" s="336"/>
      <c r="AH44" s="492">
        <f t="shared" si="12"/>
        <v>0</v>
      </c>
      <c r="AI44" s="494">
        <f>IF('wgl tot'!E44&lt;1950,0,+('wgl tot'!Q44+'wgl tot'!S44+'wgl tot'!T44)*tabellen!$C$89)*12</f>
        <v>0</v>
      </c>
      <c r="AJ44" s="336"/>
      <c r="AK44" s="493">
        <f t="shared" si="1"/>
        <v>0</v>
      </c>
      <c r="AL44" s="493">
        <f>IF(F44="",0,(IF('wgl tot'!AH44/'wgl tot'!H44&lt;tabellen!$E$53,0,('wgl tot'!AH44-tabellen!$E$53*'wgl tot'!H44)/12)*tabellen!$C$53))</f>
        <v>0</v>
      </c>
      <c r="AM44" s="493">
        <f>IF(F44="",0,(IF('wgl tot'!AH44/'wgl tot'!H44&lt;tabellen!$E$54,0,(+'wgl tot'!AH44-tabellen!$E$54*'wgl tot'!H44)/12)*tabellen!$C$54))</f>
        <v>0</v>
      </c>
      <c r="AN44" s="493">
        <f>'wgl tot'!AH44/12*tabellen!$C$55</f>
        <v>0</v>
      </c>
      <c r="AO44" s="493">
        <f>IF(H44=0,0,IF(BU44&gt;tabellen!$G$56/12,tabellen!$G$56/12,BU44)*(tabellen!$C$56+tabellen!$C$57))</f>
        <v>0</v>
      </c>
      <c r="AP44" s="493">
        <f>IF(F44="",0,('wgl tot'!BV44))</f>
        <v>0</v>
      </c>
      <c r="AQ44" s="495">
        <f>IF(F44="",0,(IF('wgl tot'!BU44&gt;tabellen!$G$59*'wgl tot'!H44/12,tabellen!$G$59*'wgl tot'!H44/12,'wgl tot'!BU44)*tabellen!$C$59))</f>
        <v>0</v>
      </c>
      <c r="AR44" s="495">
        <f>IF(F44="",0,('wgl tot'!BU44*IF(N44=1,tabellen!$C$60,IF(N44=2,tabellen!C98,IF(N44=3,tabellen!$C$62,tabellen!$C$63)))))</f>
        <v>0</v>
      </c>
      <c r="AS44" s="495">
        <f>IF(F44="",0,('wgl tot'!BU44*tabellen!$C$64))</f>
        <v>0</v>
      </c>
      <c r="AT44" s="495">
        <f>+'wgl tot'!AI44/12</f>
        <v>0</v>
      </c>
      <c r="AU44" s="530">
        <v>0</v>
      </c>
      <c r="AV44" s="291">
        <f t="shared" si="2"/>
        <v>0</v>
      </c>
      <c r="AW44" s="515">
        <f t="shared" si="3"/>
        <v>0</v>
      </c>
      <c r="AX44" s="515">
        <f t="shared" si="13"/>
        <v>0</v>
      </c>
      <c r="AY44" s="336"/>
      <c r="AZ44" s="501" t="str">
        <f>IF(AW44=0,"",(+'wgl tot'!AW44/'wgl tot'!Q44-1))</f>
        <v/>
      </c>
      <c r="BA44" s="336"/>
      <c r="BB44" s="319"/>
      <c r="BE44" s="482">
        <f ca="1">YEAR('wgl tot'!$BE$10)-YEAR('wgl tot'!E44)</f>
        <v>118</v>
      </c>
      <c r="BF44" s="482">
        <f ca="1">MONTH('wgl tot'!$BE$10)-MONTH('wgl tot'!E44)</f>
        <v>0</v>
      </c>
      <c r="BG44" s="482">
        <f ca="1">DAY('wgl tot'!$BE$10)-DAY('wgl tot'!E44)</f>
        <v>3</v>
      </c>
      <c r="BH44" s="474">
        <f>IF(AND('wgl tot'!F44&gt;0,'wgl tot'!F44&lt;16),0,100)</f>
        <v>100</v>
      </c>
      <c r="BI44" s="474" t="e">
        <f>VLOOKUP('wgl tot'!F44,salaristabellen,22,FALSE)</f>
        <v>#N/A</v>
      </c>
      <c r="BJ44" s="474">
        <f t="shared" si="4"/>
        <v>0</v>
      </c>
      <c r="BK44" s="480">
        <v>42583</v>
      </c>
      <c r="BL44" s="483">
        <f t="shared" si="16"/>
        <v>0.08</v>
      </c>
      <c r="BM44" s="484">
        <f>+tabellen!$D$93</f>
        <v>6.3E-2</v>
      </c>
      <c r="BN44" s="482">
        <f>IF('wgl tot'!BH44=100,0,'wgl tot'!F44)</f>
        <v>0</v>
      </c>
      <c r="BO44" s="484" t="str">
        <f>IF(OR('wgl tot'!F44="DA",'wgl tot'!F44="DB",'wgl tot'!F44="DBuit",'wgl tot'!F44="DC",'wgl tot'!F44="DCuit",MID('wgl tot'!F44,1,5)="meerh"),"j","n")</f>
        <v>n</v>
      </c>
      <c r="BP44" s="485"/>
      <c r="BQ44" s="486" t="e">
        <f>IF('wgl tot'!AH44/'wgl tot'!H44&lt;tabellen!$E$53,0,(+'wgl tot'!AH44-tabellen!$E$53*'wgl tot'!H44)/12*tabellen!$D$53)</f>
        <v>#DIV/0!</v>
      </c>
      <c r="BR44" s="486" t="e">
        <f>IF('wgl tot'!AH44/'wgl tot'!H44&lt;tabellen!$E$54,0,(+'wgl tot'!AH44-tabellen!$E$54*'wgl tot'!H44)/12*tabellen!$D$54)</f>
        <v>#DIV/0!</v>
      </c>
      <c r="BS44" s="486">
        <f>'wgl tot'!AH44/12*tabellen!$D$55</f>
        <v>0</v>
      </c>
      <c r="BT44" s="487" t="e">
        <f t="shared" si="17"/>
        <v>#DIV/0!</v>
      </c>
      <c r="BU44" s="488" t="e">
        <f>+('wgl tot'!AF44+'wgl tot'!AI44)/12-'wgl tot'!BT44</f>
        <v>#DIV/0!</v>
      </c>
      <c r="BV44" s="488" t="e">
        <f>ROUND(IF('wgl tot'!BU44&gt;tabellen!$H$58,tabellen!$H$58,'wgl tot'!BU44)*tabellen!$C$58,2)</f>
        <v>#DIV/0!</v>
      </c>
      <c r="BW44" s="488" t="e">
        <f>+'wgl tot'!BU44+'wgl tot'!BV44</f>
        <v>#DIV/0!</v>
      </c>
      <c r="BX44" s="489">
        <f t="shared" si="6"/>
        <v>1900</v>
      </c>
      <c r="BY44" s="489">
        <f t="shared" si="7"/>
        <v>1</v>
      </c>
      <c r="BZ44" s="482">
        <f t="shared" si="8"/>
        <v>0</v>
      </c>
      <c r="CA44" s="480">
        <f t="shared" si="14"/>
        <v>22462</v>
      </c>
      <c r="CB44" s="480">
        <f t="shared" ca="1" si="15"/>
        <v>43103.670106134261</v>
      </c>
      <c r="CC44" s="474"/>
      <c r="CD44" s="480"/>
      <c r="CE44" s="474"/>
      <c r="CF44" s="485"/>
      <c r="CG44" s="485"/>
      <c r="CH44" s="485"/>
      <c r="CI44" s="485"/>
      <c r="CJ44" s="485"/>
      <c r="CK44" s="485"/>
    </row>
    <row r="45" spans="2:89" ht="13.5" customHeight="1" x14ac:dyDescent="0.2">
      <c r="B45" s="318"/>
      <c r="C45" s="336"/>
      <c r="D45" s="286"/>
      <c r="E45" s="287"/>
      <c r="F45" s="374"/>
      <c r="G45" s="288"/>
      <c r="H45" s="289"/>
      <c r="I45" s="288"/>
      <c r="J45" s="288"/>
      <c r="K45" s="288"/>
      <c r="L45" s="288"/>
      <c r="M45" s="288"/>
      <c r="N45" s="290"/>
      <c r="O45" s="336"/>
      <c r="P45" s="499">
        <f>IF(F45="",0,(VLOOKUP('wgl tot'!F45,salaristabellen,'wgl tot'!G45+1,FALSE)))</f>
        <v>0</v>
      </c>
      <c r="Q45" s="518">
        <f t="shared" si="0"/>
        <v>0</v>
      </c>
      <c r="R45" s="336"/>
      <c r="S45" s="493">
        <f>ROUND(IF(I45="j",VLOOKUP(BJ45,uitlooptoeslag,2,FALSE))*IF('wgl tot'!H45&gt;1,1,'wgl tot'!H45),2)</f>
        <v>0</v>
      </c>
      <c r="T45" s="493">
        <f>ROUND(IF(OR('wgl tot'!F45="LA",'wgl tot'!F45="LB"),IF(J45="j",tabellen!$C$79*'wgl tot'!H45,0),0),2)</f>
        <v>0</v>
      </c>
      <c r="U45" s="493">
        <f>ROUND(IF(('wgl tot'!Q45+'wgl tot'!S45+'wgl tot'!T45)*BL45&lt;'wgl tot'!H45*tabellen!$D$92,'wgl tot'!H45*tabellen!$D$92,('wgl tot'!Q45+'wgl tot'!S45+'wgl tot'!T45)*BL45),2)</f>
        <v>0</v>
      </c>
      <c r="V45" s="493">
        <f>ROUND(+('wgl tot'!Q45+'wgl tot'!S45+'wgl tot'!T45)*BM45,2)</f>
        <v>0</v>
      </c>
      <c r="W45" s="493">
        <f>+tabellen!$C$87*'wgl tot'!H45</f>
        <v>0</v>
      </c>
      <c r="X45" s="493">
        <f>VLOOKUP(BN45,eindejaarsuitkering_OOP,2,TRUE)*'wgl tot'!H45/12</f>
        <v>0</v>
      </c>
      <c r="Y45" s="493">
        <f>ROUND(IF(BO45="j",tabellen!$D$101*IF('wgl tot'!H45&gt;1,1,'wgl tot'!H45),0),2)</f>
        <v>0</v>
      </c>
      <c r="Z45" s="511">
        <f t="shared" si="9"/>
        <v>0</v>
      </c>
      <c r="AA45" s="338"/>
      <c r="AB45" s="339"/>
      <c r="AC45" s="492">
        <f t="shared" si="10"/>
        <v>0</v>
      </c>
      <c r="AD45" s="493">
        <f>ROUND(IF(L45="j",VLOOKUP(K45,bindingstoelage,2,FALSE))*IF('wgl tot'!H45&gt;1,1,'wgl tot'!H45),2)</f>
        <v>0</v>
      </c>
      <c r="AE45" s="493">
        <f>ROUND('wgl tot'!H45*tabellen!$D$99,2)</f>
        <v>0</v>
      </c>
      <c r="AF45" s="492">
        <f t="shared" si="11"/>
        <v>0</v>
      </c>
      <c r="AG45" s="336"/>
      <c r="AH45" s="492">
        <f t="shared" si="12"/>
        <v>0</v>
      </c>
      <c r="AI45" s="494">
        <f>IF('wgl tot'!E45&lt;1950,0,+('wgl tot'!Q45+'wgl tot'!S45+'wgl tot'!T45)*tabellen!$C$89)*12</f>
        <v>0</v>
      </c>
      <c r="AJ45" s="336"/>
      <c r="AK45" s="493">
        <f t="shared" si="1"/>
        <v>0</v>
      </c>
      <c r="AL45" s="493">
        <f>IF(F45="",0,(IF('wgl tot'!AH45/'wgl tot'!H45&lt;tabellen!$E$53,0,('wgl tot'!AH45-tabellen!$E$53*'wgl tot'!H45)/12)*tabellen!$C$53))</f>
        <v>0</v>
      </c>
      <c r="AM45" s="493">
        <f>IF(F45="",0,(IF('wgl tot'!AH45/'wgl tot'!H45&lt;tabellen!$E$54,0,(+'wgl tot'!AH45-tabellen!$E$54*'wgl tot'!H45)/12)*tabellen!$C$54))</f>
        <v>0</v>
      </c>
      <c r="AN45" s="493">
        <f>'wgl tot'!AH45/12*tabellen!$C$55</f>
        <v>0</v>
      </c>
      <c r="AO45" s="493">
        <f>IF(H45=0,0,IF(BU45&gt;tabellen!$G$56/12,tabellen!$G$56/12,BU45)*(tabellen!$C$56+tabellen!$C$57))</f>
        <v>0</v>
      </c>
      <c r="AP45" s="493">
        <f>IF(F45="",0,('wgl tot'!BV45))</f>
        <v>0</v>
      </c>
      <c r="AQ45" s="495">
        <f>IF(F45="",0,(IF('wgl tot'!BU45&gt;tabellen!$G$59*'wgl tot'!H45/12,tabellen!$G$59*'wgl tot'!H45/12,'wgl tot'!BU45)*tabellen!$C$59))</f>
        <v>0</v>
      </c>
      <c r="AR45" s="495">
        <f>IF(F45="",0,('wgl tot'!BU45*IF(N45=1,tabellen!$C$60,IF(N45=2,tabellen!C99,IF(N45=3,tabellen!$C$62,tabellen!$C$63)))))</f>
        <v>0</v>
      </c>
      <c r="AS45" s="495">
        <f>IF(F45="",0,('wgl tot'!BU45*tabellen!$C$64))</f>
        <v>0</v>
      </c>
      <c r="AT45" s="495">
        <f>+'wgl tot'!AI45/12</f>
        <v>0</v>
      </c>
      <c r="AU45" s="530">
        <v>0</v>
      </c>
      <c r="AV45" s="291">
        <f t="shared" si="2"/>
        <v>0</v>
      </c>
      <c r="AW45" s="515">
        <f t="shared" si="3"/>
        <v>0</v>
      </c>
      <c r="AX45" s="515">
        <f t="shared" si="13"/>
        <v>0</v>
      </c>
      <c r="AY45" s="336"/>
      <c r="AZ45" s="501" t="str">
        <f>IF(AW45=0,"",(+'wgl tot'!AW45/'wgl tot'!Q45-1))</f>
        <v/>
      </c>
      <c r="BA45" s="336"/>
      <c r="BB45" s="319"/>
      <c r="BE45" s="482">
        <f ca="1">YEAR('wgl tot'!$BE$10)-YEAR('wgl tot'!E45)</f>
        <v>118</v>
      </c>
      <c r="BF45" s="482">
        <f ca="1">MONTH('wgl tot'!$BE$10)-MONTH('wgl tot'!E45)</f>
        <v>0</v>
      </c>
      <c r="BG45" s="482">
        <f ca="1">DAY('wgl tot'!$BE$10)-DAY('wgl tot'!E45)</f>
        <v>3</v>
      </c>
      <c r="BH45" s="474">
        <f>IF(AND('wgl tot'!F45&gt;0,'wgl tot'!F45&lt;16),0,100)</f>
        <v>100</v>
      </c>
      <c r="BI45" s="474" t="e">
        <f>VLOOKUP('wgl tot'!F45,salaristabellen,22,FALSE)</f>
        <v>#N/A</v>
      </c>
      <c r="BJ45" s="474">
        <f t="shared" si="4"/>
        <v>0</v>
      </c>
      <c r="BK45" s="480">
        <v>42583</v>
      </c>
      <c r="BL45" s="483">
        <f t="shared" si="16"/>
        <v>0.08</v>
      </c>
      <c r="BM45" s="484">
        <f>+tabellen!$D$93</f>
        <v>6.3E-2</v>
      </c>
      <c r="BN45" s="482">
        <f>IF('wgl tot'!BH45=100,0,'wgl tot'!F45)</f>
        <v>0</v>
      </c>
      <c r="BO45" s="484" t="str">
        <f>IF(OR('wgl tot'!F45="DA",'wgl tot'!F45="DB",'wgl tot'!F45="DBuit",'wgl tot'!F45="DC",'wgl tot'!F45="DCuit",MID('wgl tot'!F45,1,5)="meerh"),"j","n")</f>
        <v>n</v>
      </c>
      <c r="BP45" s="485"/>
      <c r="BQ45" s="486" t="e">
        <f>IF('wgl tot'!AH45/'wgl tot'!H45&lt;tabellen!$E$53,0,(+'wgl tot'!AH45-tabellen!$E$53*'wgl tot'!H45)/12*tabellen!$D$53)</f>
        <v>#DIV/0!</v>
      </c>
      <c r="BR45" s="486" t="e">
        <f>IF('wgl tot'!AH45/'wgl tot'!H45&lt;tabellen!$E$54,0,(+'wgl tot'!AH45-tabellen!$E$54*'wgl tot'!H45)/12*tabellen!$D$54)</f>
        <v>#DIV/0!</v>
      </c>
      <c r="BS45" s="486">
        <f>'wgl tot'!AH45/12*tabellen!$D$55</f>
        <v>0</v>
      </c>
      <c r="BT45" s="487" t="e">
        <f t="shared" si="17"/>
        <v>#DIV/0!</v>
      </c>
      <c r="BU45" s="488" t="e">
        <f>+('wgl tot'!AF45+'wgl tot'!AI45)/12-'wgl tot'!BT45</f>
        <v>#DIV/0!</v>
      </c>
      <c r="BV45" s="488" t="e">
        <f>ROUND(IF('wgl tot'!BU45&gt;tabellen!$H$58,tabellen!$H$58,'wgl tot'!BU45)*tabellen!$C$58,2)</f>
        <v>#DIV/0!</v>
      </c>
      <c r="BW45" s="488" t="e">
        <f>+'wgl tot'!BU45+'wgl tot'!BV45</f>
        <v>#DIV/0!</v>
      </c>
      <c r="BX45" s="489">
        <f t="shared" si="6"/>
        <v>1900</v>
      </c>
      <c r="BY45" s="489">
        <f t="shared" si="7"/>
        <v>1</v>
      </c>
      <c r="BZ45" s="482">
        <f t="shared" si="8"/>
        <v>0</v>
      </c>
      <c r="CA45" s="480">
        <f t="shared" si="14"/>
        <v>22462</v>
      </c>
      <c r="CB45" s="480">
        <f t="shared" ca="1" si="15"/>
        <v>43103.670106134261</v>
      </c>
      <c r="CC45" s="474"/>
      <c r="CD45" s="480"/>
      <c r="CE45" s="474"/>
      <c r="CF45" s="485"/>
      <c r="CG45" s="485"/>
      <c r="CH45" s="485"/>
      <c r="CI45" s="485"/>
      <c r="CJ45" s="485"/>
      <c r="CK45" s="485"/>
    </row>
    <row r="46" spans="2:89" ht="13.5" customHeight="1" x14ac:dyDescent="0.2">
      <c r="B46" s="318"/>
      <c r="C46" s="336"/>
      <c r="D46" s="286"/>
      <c r="E46" s="287"/>
      <c r="F46" s="374"/>
      <c r="G46" s="288"/>
      <c r="H46" s="289"/>
      <c r="I46" s="288"/>
      <c r="J46" s="288"/>
      <c r="K46" s="288"/>
      <c r="L46" s="288"/>
      <c r="M46" s="288"/>
      <c r="N46" s="290"/>
      <c r="O46" s="336"/>
      <c r="P46" s="499">
        <f>IF(F46="",0,(VLOOKUP('wgl tot'!F46,salaristabellen,'wgl tot'!G46+1,FALSE)))</f>
        <v>0</v>
      </c>
      <c r="Q46" s="518">
        <f t="shared" si="0"/>
        <v>0</v>
      </c>
      <c r="R46" s="336"/>
      <c r="S46" s="493">
        <f>ROUND(IF(I46="j",VLOOKUP(BJ46,uitlooptoeslag,2,FALSE))*IF('wgl tot'!H46&gt;1,1,'wgl tot'!H46),2)</f>
        <v>0</v>
      </c>
      <c r="T46" s="493">
        <f>ROUND(IF(OR('wgl tot'!F46="LA",'wgl tot'!F46="LB"),IF(J46="j",tabellen!$C$79*'wgl tot'!H46,0),0),2)</f>
        <v>0</v>
      </c>
      <c r="U46" s="493">
        <f>ROUND(IF(('wgl tot'!Q46+'wgl tot'!S46+'wgl tot'!T46)*BL46&lt;'wgl tot'!H46*tabellen!$D$92,'wgl tot'!H46*tabellen!$D$92,('wgl tot'!Q46+'wgl tot'!S46+'wgl tot'!T46)*BL46),2)</f>
        <v>0</v>
      </c>
      <c r="V46" s="493">
        <f>ROUND(+('wgl tot'!Q46+'wgl tot'!S46+'wgl tot'!T46)*BM46,2)</f>
        <v>0</v>
      </c>
      <c r="W46" s="493">
        <f>+tabellen!$C$87*'wgl tot'!H46</f>
        <v>0</v>
      </c>
      <c r="X46" s="493">
        <f>VLOOKUP(BN46,eindejaarsuitkering_OOP,2,TRUE)*'wgl tot'!H46/12</f>
        <v>0</v>
      </c>
      <c r="Y46" s="493">
        <f>ROUND(IF(BO46="j",tabellen!$D$101*IF('wgl tot'!H46&gt;1,1,'wgl tot'!H46),0),2)</f>
        <v>0</v>
      </c>
      <c r="Z46" s="511">
        <f t="shared" si="9"/>
        <v>0</v>
      </c>
      <c r="AA46" s="338"/>
      <c r="AB46" s="339"/>
      <c r="AC46" s="492">
        <f t="shared" si="10"/>
        <v>0</v>
      </c>
      <c r="AD46" s="493">
        <f>ROUND(IF(L46="j",VLOOKUP(K46,bindingstoelage,2,FALSE))*IF('wgl tot'!H46&gt;1,1,'wgl tot'!H46),2)</f>
        <v>0</v>
      </c>
      <c r="AE46" s="493">
        <f>ROUND('wgl tot'!H46*tabellen!$D$99,2)</f>
        <v>0</v>
      </c>
      <c r="AF46" s="492">
        <f t="shared" si="11"/>
        <v>0</v>
      </c>
      <c r="AG46" s="336"/>
      <c r="AH46" s="492">
        <f t="shared" si="12"/>
        <v>0</v>
      </c>
      <c r="AI46" s="494">
        <f>IF('wgl tot'!E46&lt;1950,0,+('wgl tot'!Q46+'wgl tot'!S46+'wgl tot'!T46)*tabellen!$C$89)*12</f>
        <v>0</v>
      </c>
      <c r="AJ46" s="336"/>
      <c r="AK46" s="493">
        <f t="shared" si="1"/>
        <v>0</v>
      </c>
      <c r="AL46" s="493">
        <f>IF(F46="",0,(IF('wgl tot'!AH46/'wgl tot'!H46&lt;tabellen!$E$53,0,('wgl tot'!AH46-tabellen!$E$53*'wgl tot'!H46)/12)*tabellen!$C$53))</f>
        <v>0</v>
      </c>
      <c r="AM46" s="493">
        <f>IF(F46="",0,(IF('wgl tot'!AH46/'wgl tot'!H46&lt;tabellen!$E$54,0,(+'wgl tot'!AH46-tabellen!$E$54*'wgl tot'!H46)/12)*tabellen!$C$54))</f>
        <v>0</v>
      </c>
      <c r="AN46" s="493">
        <f>'wgl tot'!AH46/12*tabellen!$C$55</f>
        <v>0</v>
      </c>
      <c r="AO46" s="493">
        <f>IF(H46=0,0,IF(BU46&gt;tabellen!$G$56/12,tabellen!$G$56/12,BU46)*(tabellen!$C$56+tabellen!$C$57))</f>
        <v>0</v>
      </c>
      <c r="AP46" s="493">
        <f>IF(F46="",0,('wgl tot'!BV46))</f>
        <v>0</v>
      </c>
      <c r="AQ46" s="495">
        <f>IF(F46="",0,(IF('wgl tot'!BU46&gt;tabellen!$G$59*'wgl tot'!H46/12,tabellen!$G$59*'wgl tot'!H46/12,'wgl tot'!BU46)*tabellen!$C$59))</f>
        <v>0</v>
      </c>
      <c r="AR46" s="495">
        <f>IF(F46="",0,('wgl tot'!BU46*IF(N46=1,tabellen!$C$60,IF(N46=2,tabellen!C100,IF(N46=3,tabellen!$C$62,tabellen!$C$63)))))</f>
        <v>0</v>
      </c>
      <c r="AS46" s="495">
        <f>IF(F46="",0,('wgl tot'!BU46*tabellen!$C$64))</f>
        <v>0</v>
      </c>
      <c r="AT46" s="495">
        <f>+'wgl tot'!AI46/12</f>
        <v>0</v>
      </c>
      <c r="AU46" s="530">
        <v>0</v>
      </c>
      <c r="AV46" s="291">
        <f t="shared" si="2"/>
        <v>0</v>
      </c>
      <c r="AW46" s="515">
        <f t="shared" si="3"/>
        <v>0</v>
      </c>
      <c r="AX46" s="515">
        <f t="shared" si="13"/>
        <v>0</v>
      </c>
      <c r="AY46" s="336"/>
      <c r="AZ46" s="501" t="str">
        <f>IF(AW46=0,"",(+'wgl tot'!AW46/'wgl tot'!Q46-1))</f>
        <v/>
      </c>
      <c r="BA46" s="336"/>
      <c r="BB46" s="319"/>
      <c r="BE46" s="482">
        <f ca="1">YEAR('wgl tot'!$BE$10)-YEAR('wgl tot'!E46)</f>
        <v>118</v>
      </c>
      <c r="BF46" s="482">
        <f ca="1">MONTH('wgl tot'!$BE$10)-MONTH('wgl tot'!E46)</f>
        <v>0</v>
      </c>
      <c r="BG46" s="482">
        <f ca="1">DAY('wgl tot'!$BE$10)-DAY('wgl tot'!E46)</f>
        <v>3</v>
      </c>
      <c r="BH46" s="474">
        <f>IF(AND('wgl tot'!F46&gt;0,'wgl tot'!F46&lt;16),0,100)</f>
        <v>100</v>
      </c>
      <c r="BI46" s="474" t="e">
        <f>VLOOKUP('wgl tot'!F46,salaristabellen,22,FALSE)</f>
        <v>#N/A</v>
      </c>
      <c r="BJ46" s="474">
        <f t="shared" si="4"/>
        <v>0</v>
      </c>
      <c r="BK46" s="480">
        <v>42583</v>
      </c>
      <c r="BL46" s="483">
        <f t="shared" si="16"/>
        <v>0.08</v>
      </c>
      <c r="BM46" s="484">
        <f>+tabellen!$D$93</f>
        <v>6.3E-2</v>
      </c>
      <c r="BN46" s="482">
        <f>IF('wgl tot'!BH46=100,0,'wgl tot'!F46)</f>
        <v>0</v>
      </c>
      <c r="BO46" s="484" t="str">
        <f>IF(OR('wgl tot'!F46="DA",'wgl tot'!F46="DB",'wgl tot'!F46="DBuit",'wgl tot'!F46="DC",'wgl tot'!F46="DCuit",MID('wgl tot'!F46,1,5)="meerh"),"j","n")</f>
        <v>n</v>
      </c>
      <c r="BP46" s="485"/>
      <c r="BQ46" s="486" t="e">
        <f>IF('wgl tot'!AH46/'wgl tot'!H46&lt;tabellen!$E$53,0,(+'wgl tot'!AH46-tabellen!$E$53*'wgl tot'!H46)/12*tabellen!$D$53)</f>
        <v>#DIV/0!</v>
      </c>
      <c r="BR46" s="486" t="e">
        <f>IF('wgl tot'!AH46/'wgl tot'!H46&lt;tabellen!$E$54,0,(+'wgl tot'!AH46-tabellen!$E$54*'wgl tot'!H46)/12*tabellen!$D$54)</f>
        <v>#DIV/0!</v>
      </c>
      <c r="BS46" s="486">
        <f>'wgl tot'!AH46/12*tabellen!$D$55</f>
        <v>0</v>
      </c>
      <c r="BT46" s="487" t="e">
        <f t="shared" si="17"/>
        <v>#DIV/0!</v>
      </c>
      <c r="BU46" s="488" t="e">
        <f>+('wgl tot'!AF46+'wgl tot'!AI46)/12-'wgl tot'!BT46</f>
        <v>#DIV/0!</v>
      </c>
      <c r="BV46" s="488" t="e">
        <f>ROUND(IF('wgl tot'!BU46&gt;tabellen!$H$58,tabellen!$H$58,'wgl tot'!BU46)*tabellen!$C$58,2)</f>
        <v>#DIV/0!</v>
      </c>
      <c r="BW46" s="488" t="e">
        <f>+'wgl tot'!BU46+'wgl tot'!BV46</f>
        <v>#DIV/0!</v>
      </c>
      <c r="BX46" s="489">
        <f t="shared" si="6"/>
        <v>1900</v>
      </c>
      <c r="BY46" s="489">
        <f t="shared" si="7"/>
        <v>1</v>
      </c>
      <c r="BZ46" s="482">
        <f t="shared" si="8"/>
        <v>0</v>
      </c>
      <c r="CA46" s="480">
        <f t="shared" si="14"/>
        <v>22462</v>
      </c>
      <c r="CB46" s="480">
        <f t="shared" ca="1" si="15"/>
        <v>43103.670106134261</v>
      </c>
      <c r="CC46" s="474"/>
      <c r="CD46" s="480"/>
      <c r="CE46" s="474"/>
      <c r="CF46" s="485"/>
      <c r="CG46" s="485"/>
      <c r="CH46" s="485"/>
      <c r="CI46" s="485"/>
      <c r="CJ46" s="485"/>
      <c r="CK46" s="485"/>
    </row>
    <row r="47" spans="2:89" ht="13.5" customHeight="1" x14ac:dyDescent="0.2">
      <c r="B47" s="318"/>
      <c r="C47" s="336"/>
      <c r="D47" s="286"/>
      <c r="E47" s="287"/>
      <c r="F47" s="374"/>
      <c r="G47" s="288"/>
      <c r="H47" s="289"/>
      <c r="I47" s="288"/>
      <c r="J47" s="288"/>
      <c r="K47" s="288"/>
      <c r="L47" s="288"/>
      <c r="M47" s="288"/>
      <c r="N47" s="290"/>
      <c r="O47" s="336"/>
      <c r="P47" s="499">
        <f>IF(F47="",0,(VLOOKUP('wgl tot'!F47,salaristabellen,'wgl tot'!G47+1,FALSE)))</f>
        <v>0</v>
      </c>
      <c r="Q47" s="518">
        <f t="shared" ref="Q47:Q69" si="18">P47*H47</f>
        <v>0</v>
      </c>
      <c r="R47" s="336"/>
      <c r="S47" s="493">
        <f>ROUND(IF(I47="j",VLOOKUP(BJ47,uitlooptoeslag,2,FALSE))*IF('wgl tot'!H47&gt;1,1,'wgl tot'!H47),2)</f>
        <v>0</v>
      </c>
      <c r="T47" s="493">
        <f>ROUND(IF(OR('wgl tot'!F47="LA",'wgl tot'!F47="LB"),IF(J47="j",tabellen!$C$79*'wgl tot'!H47,0),0),2)</f>
        <v>0</v>
      </c>
      <c r="U47" s="493">
        <f>ROUND(IF(('wgl tot'!Q47+'wgl tot'!S47+'wgl tot'!T47)*BL47&lt;'wgl tot'!H47*tabellen!$D$92,'wgl tot'!H47*tabellen!$D$92,('wgl tot'!Q47+'wgl tot'!S47+'wgl tot'!T47)*BL47),2)</f>
        <v>0</v>
      </c>
      <c r="V47" s="493">
        <f>ROUND(+('wgl tot'!Q47+'wgl tot'!S47+'wgl tot'!T47)*BM47,2)</f>
        <v>0</v>
      </c>
      <c r="W47" s="493">
        <f>+tabellen!$C$87*'wgl tot'!H47</f>
        <v>0</v>
      </c>
      <c r="X47" s="493">
        <f>VLOOKUP(BN47,eindejaarsuitkering_OOP,2,TRUE)*'wgl tot'!H47/12</f>
        <v>0</v>
      </c>
      <c r="Y47" s="493">
        <f>ROUND(IF(BO47="j",tabellen!$D$101*IF('wgl tot'!H47&gt;1,1,'wgl tot'!H47),0),2)</f>
        <v>0</v>
      </c>
      <c r="Z47" s="511">
        <f t="shared" si="9"/>
        <v>0</v>
      </c>
      <c r="AA47" s="338"/>
      <c r="AB47" s="339"/>
      <c r="AC47" s="492">
        <f t="shared" si="10"/>
        <v>0</v>
      </c>
      <c r="AD47" s="493">
        <f>ROUND(IF(L47="j",VLOOKUP(K47,bindingstoelage,2,FALSE))*IF('wgl tot'!H47&gt;1,1,'wgl tot'!H47),2)</f>
        <v>0</v>
      </c>
      <c r="AE47" s="493">
        <f>ROUND('wgl tot'!H47*tabellen!$D$99,2)</f>
        <v>0</v>
      </c>
      <c r="AF47" s="492">
        <f t="shared" si="11"/>
        <v>0</v>
      </c>
      <c r="AG47" s="336"/>
      <c r="AH47" s="492">
        <f t="shared" si="12"/>
        <v>0</v>
      </c>
      <c r="AI47" s="494">
        <f>IF('wgl tot'!E47&lt;1950,0,+('wgl tot'!Q47+'wgl tot'!S47+'wgl tot'!T47)*tabellen!$C$89)*12</f>
        <v>0</v>
      </c>
      <c r="AJ47" s="336"/>
      <c r="AK47" s="493">
        <f t="shared" ref="AK47:AK69" si="19">AF47/12</f>
        <v>0</v>
      </c>
      <c r="AL47" s="493">
        <f>IF(F47="",0,(IF('wgl tot'!AH47/'wgl tot'!H47&lt;tabellen!$E$53,0,('wgl tot'!AH47-tabellen!$E$53*'wgl tot'!H47)/12)*tabellen!$C$53))</f>
        <v>0</v>
      </c>
      <c r="AM47" s="493">
        <f>IF(F47="",0,(IF('wgl tot'!AH47/'wgl tot'!H47&lt;tabellen!$E$54,0,(+'wgl tot'!AH47-tabellen!$E$54*'wgl tot'!H47)/12)*tabellen!$C$54))</f>
        <v>0</v>
      </c>
      <c r="AN47" s="493">
        <f>'wgl tot'!AH47/12*tabellen!$C$55</f>
        <v>0</v>
      </c>
      <c r="AO47" s="493">
        <f>IF(H47=0,0,IF(BU47&gt;tabellen!$G$56/12,tabellen!$G$56/12,BU47)*(tabellen!$C$56+tabellen!$C$57))</f>
        <v>0</v>
      </c>
      <c r="AP47" s="493">
        <f>IF(F47="",0,('wgl tot'!BV47))</f>
        <v>0</v>
      </c>
      <c r="AQ47" s="495">
        <f>IF(F47="",0,(IF('wgl tot'!BU47&gt;tabellen!$G$59*'wgl tot'!H47/12,tabellen!$G$59*'wgl tot'!H47/12,'wgl tot'!BU47)*tabellen!$C$59))</f>
        <v>0</v>
      </c>
      <c r="AR47" s="495">
        <f>IF(F47="",0,('wgl tot'!BU47*IF(N47=1,tabellen!$C$60,IF(N47=2,tabellen!C101,IF(N47=3,tabellen!$C$62,tabellen!$C$63)))))</f>
        <v>0</v>
      </c>
      <c r="AS47" s="495">
        <f>IF(F47="",0,('wgl tot'!BU47*tabellen!$C$64))</f>
        <v>0</v>
      </c>
      <c r="AT47" s="495">
        <f>+'wgl tot'!AI47/12</f>
        <v>0</v>
      </c>
      <c r="AU47" s="530">
        <v>0</v>
      </c>
      <c r="AV47" s="291">
        <f t="shared" ref="AV47:AV69" si="20">SUM(AK47:AT47)</f>
        <v>0</v>
      </c>
      <c r="AW47" s="515">
        <f t="shared" ref="AW47:AW69" si="21">SUM(AK47:AU47)</f>
        <v>0</v>
      </c>
      <c r="AX47" s="515">
        <f t="shared" si="13"/>
        <v>0</v>
      </c>
      <c r="AY47" s="336"/>
      <c r="AZ47" s="501" t="str">
        <f>IF(AW47=0,"",(+'wgl tot'!AW47/'wgl tot'!Q47-1))</f>
        <v/>
      </c>
      <c r="BA47" s="336"/>
      <c r="BB47" s="319"/>
      <c r="BE47" s="482">
        <f ca="1">YEAR('wgl tot'!$BE$10)-YEAR('wgl tot'!E47)</f>
        <v>118</v>
      </c>
      <c r="BF47" s="482">
        <f ca="1">MONTH('wgl tot'!$BE$10)-MONTH('wgl tot'!E47)</f>
        <v>0</v>
      </c>
      <c r="BG47" s="482">
        <f ca="1">DAY('wgl tot'!$BE$10)-DAY('wgl tot'!E47)</f>
        <v>3</v>
      </c>
      <c r="BH47" s="474">
        <f>IF(AND('wgl tot'!F47&gt;0,'wgl tot'!F47&lt;16),0,100)</f>
        <v>100</v>
      </c>
      <c r="BI47" s="474" t="e">
        <f>VLOOKUP('wgl tot'!F47,salaristabellen,22,FALSE)</f>
        <v>#N/A</v>
      </c>
      <c r="BJ47" s="474">
        <f t="shared" ref="BJ47:BJ69" si="22">F47</f>
        <v>0</v>
      </c>
      <c r="BK47" s="480">
        <v>42583</v>
      </c>
      <c r="BL47" s="483">
        <f t="shared" si="16"/>
        <v>0.08</v>
      </c>
      <c r="BM47" s="484">
        <f>+tabellen!$D$93</f>
        <v>6.3E-2</v>
      </c>
      <c r="BN47" s="482">
        <f>IF('wgl tot'!BH47=100,0,'wgl tot'!F47)</f>
        <v>0</v>
      </c>
      <c r="BO47" s="484" t="str">
        <f>IF(OR('wgl tot'!F47="DA",'wgl tot'!F47="DB",'wgl tot'!F47="DBuit",'wgl tot'!F47="DC",'wgl tot'!F47="DCuit",MID('wgl tot'!F47,1,5)="meerh"),"j","n")</f>
        <v>n</v>
      </c>
      <c r="BP47" s="485"/>
      <c r="BQ47" s="486" t="e">
        <f>IF('wgl tot'!AH47/'wgl tot'!H47&lt;tabellen!$E$53,0,(+'wgl tot'!AH47-tabellen!$E$53*'wgl tot'!H47)/12*tabellen!$D$53)</f>
        <v>#DIV/0!</v>
      </c>
      <c r="BR47" s="486" t="e">
        <f>IF('wgl tot'!AH47/'wgl tot'!H47&lt;tabellen!$E$54,0,(+'wgl tot'!AH47-tabellen!$E$54*'wgl tot'!H47)/12*tabellen!$D$54)</f>
        <v>#DIV/0!</v>
      </c>
      <c r="BS47" s="486">
        <f>'wgl tot'!AH47/12*tabellen!$D$55</f>
        <v>0</v>
      </c>
      <c r="BT47" s="487" t="e">
        <f t="shared" si="17"/>
        <v>#DIV/0!</v>
      </c>
      <c r="BU47" s="488" t="e">
        <f>+('wgl tot'!AF47+'wgl tot'!AI47)/12-'wgl tot'!BT47</f>
        <v>#DIV/0!</v>
      </c>
      <c r="BV47" s="488" t="e">
        <f>ROUND(IF('wgl tot'!BU47&gt;tabellen!$H$58,tabellen!$H$58,'wgl tot'!BU47)*tabellen!$C$58,2)</f>
        <v>#DIV/0!</v>
      </c>
      <c r="BW47" s="488" t="e">
        <f>+'wgl tot'!BU47+'wgl tot'!BV47</f>
        <v>#DIV/0!</v>
      </c>
      <c r="BX47" s="489">
        <f t="shared" ref="BX47:BX69" si="23">YEAR(E47)</f>
        <v>1900</v>
      </c>
      <c r="BY47" s="489">
        <f t="shared" ref="BY47:BY69" si="24">MONTH(E47)</f>
        <v>1</v>
      </c>
      <c r="BZ47" s="482">
        <f t="shared" ref="BZ47:BZ69" si="25">DAY(E47)</f>
        <v>0</v>
      </c>
      <c r="CA47" s="480">
        <f t="shared" si="14"/>
        <v>22462</v>
      </c>
      <c r="CB47" s="480">
        <f t="shared" ca="1" si="15"/>
        <v>43103.670106134261</v>
      </c>
      <c r="CC47" s="474"/>
      <c r="CD47" s="480"/>
      <c r="CE47" s="474"/>
      <c r="CF47" s="485"/>
      <c r="CG47" s="485"/>
      <c r="CH47" s="485"/>
      <c r="CI47" s="485"/>
      <c r="CJ47" s="485"/>
      <c r="CK47" s="485"/>
    </row>
    <row r="48" spans="2:89" ht="13.5" customHeight="1" x14ac:dyDescent="0.2">
      <c r="B48" s="318"/>
      <c r="C48" s="336"/>
      <c r="D48" s="286"/>
      <c r="E48" s="287"/>
      <c r="F48" s="374"/>
      <c r="G48" s="288"/>
      <c r="H48" s="289"/>
      <c r="I48" s="288"/>
      <c r="J48" s="288"/>
      <c r="K48" s="288"/>
      <c r="L48" s="288"/>
      <c r="M48" s="288"/>
      <c r="N48" s="290"/>
      <c r="O48" s="336"/>
      <c r="P48" s="499">
        <f>IF(F48="",0,(VLOOKUP('wgl tot'!F48,salaristabellen,'wgl tot'!G48+1,FALSE)))</f>
        <v>0</v>
      </c>
      <c r="Q48" s="518">
        <f t="shared" si="18"/>
        <v>0</v>
      </c>
      <c r="R48" s="336"/>
      <c r="S48" s="493">
        <f>ROUND(IF(I48="j",VLOOKUP(BJ48,uitlooptoeslag,2,FALSE))*IF('wgl tot'!H48&gt;1,1,'wgl tot'!H48),2)</f>
        <v>0</v>
      </c>
      <c r="T48" s="493">
        <f>ROUND(IF(OR('wgl tot'!F48="LA",'wgl tot'!F48="LB"),IF(J48="j",tabellen!$C$79*'wgl tot'!H48,0),0),2)</f>
        <v>0</v>
      </c>
      <c r="U48" s="493">
        <f>ROUND(IF(('wgl tot'!Q48+'wgl tot'!S48+'wgl tot'!T48)*BL48&lt;'wgl tot'!H48*tabellen!$D$92,'wgl tot'!H48*tabellen!$D$92,('wgl tot'!Q48+'wgl tot'!S48+'wgl tot'!T48)*BL48),2)</f>
        <v>0</v>
      </c>
      <c r="V48" s="493">
        <f>ROUND(+('wgl tot'!Q48+'wgl tot'!S48+'wgl tot'!T48)*BM48,2)</f>
        <v>0</v>
      </c>
      <c r="W48" s="493">
        <f>+tabellen!$C$87*'wgl tot'!H48</f>
        <v>0</v>
      </c>
      <c r="X48" s="493">
        <f>VLOOKUP(BN48,eindejaarsuitkering_OOP,2,TRUE)*'wgl tot'!H48/12</f>
        <v>0</v>
      </c>
      <c r="Y48" s="493">
        <f>ROUND(IF(BO48="j",tabellen!$D$101*IF('wgl tot'!H48&gt;1,1,'wgl tot'!H48),0),2)</f>
        <v>0</v>
      </c>
      <c r="Z48" s="511">
        <f t="shared" si="9"/>
        <v>0</v>
      </c>
      <c r="AA48" s="338"/>
      <c r="AB48" s="339"/>
      <c r="AC48" s="492">
        <f t="shared" si="10"/>
        <v>0</v>
      </c>
      <c r="AD48" s="493">
        <f>ROUND(IF(L48="j",VLOOKUP(K48,bindingstoelage,2,FALSE))*IF('wgl tot'!H48&gt;1,1,'wgl tot'!H48),2)</f>
        <v>0</v>
      </c>
      <c r="AE48" s="493">
        <f>ROUND('wgl tot'!H48*tabellen!$D$99,2)</f>
        <v>0</v>
      </c>
      <c r="AF48" s="492">
        <f t="shared" si="11"/>
        <v>0</v>
      </c>
      <c r="AG48" s="336"/>
      <c r="AH48" s="492">
        <f t="shared" si="12"/>
        <v>0</v>
      </c>
      <c r="AI48" s="494">
        <f>IF('wgl tot'!E48&lt;1950,0,+('wgl tot'!Q48+'wgl tot'!S48+'wgl tot'!T48)*tabellen!$C$89)*12</f>
        <v>0</v>
      </c>
      <c r="AJ48" s="336"/>
      <c r="AK48" s="493">
        <f t="shared" si="19"/>
        <v>0</v>
      </c>
      <c r="AL48" s="493">
        <f>IF(F48="",0,(IF('wgl tot'!AH48/'wgl tot'!H48&lt;tabellen!$E$53,0,('wgl tot'!AH48-tabellen!$E$53*'wgl tot'!H48)/12)*tabellen!$C$53))</f>
        <v>0</v>
      </c>
      <c r="AM48" s="493">
        <f>IF(F48="",0,(IF('wgl tot'!AH48/'wgl tot'!H48&lt;tabellen!$E$54,0,(+'wgl tot'!AH48-tabellen!$E$54*'wgl tot'!H48)/12)*tabellen!$C$54))</f>
        <v>0</v>
      </c>
      <c r="AN48" s="493">
        <f>'wgl tot'!AH48/12*tabellen!$C$55</f>
        <v>0</v>
      </c>
      <c r="AO48" s="493">
        <f>IF(H48=0,0,IF(BU48&gt;tabellen!$G$56/12,tabellen!$G$56/12,BU48)*(tabellen!$C$56+tabellen!$C$57))</f>
        <v>0</v>
      </c>
      <c r="AP48" s="493">
        <f>IF(F48="",0,('wgl tot'!BV48))</f>
        <v>0</v>
      </c>
      <c r="AQ48" s="495">
        <f>IF(F48="",0,(IF('wgl tot'!BU48&gt;tabellen!$G$59*'wgl tot'!H48/12,tabellen!$G$59*'wgl tot'!H48/12,'wgl tot'!BU48)*tabellen!$C$59))</f>
        <v>0</v>
      </c>
      <c r="AR48" s="495">
        <f>IF(F48="",0,('wgl tot'!BU48*IF(N48=1,tabellen!$C$60,IF(N48=2,tabellen!C102,IF(N48=3,tabellen!$C$62,tabellen!$C$63)))))</f>
        <v>0</v>
      </c>
      <c r="AS48" s="495">
        <f>IF(F48="",0,('wgl tot'!BU48*tabellen!$C$64))</f>
        <v>0</v>
      </c>
      <c r="AT48" s="495">
        <f>+'wgl tot'!AI48/12</f>
        <v>0</v>
      </c>
      <c r="AU48" s="530">
        <v>0</v>
      </c>
      <c r="AV48" s="291">
        <f t="shared" si="20"/>
        <v>0</v>
      </c>
      <c r="AW48" s="515">
        <f t="shared" si="21"/>
        <v>0</v>
      </c>
      <c r="AX48" s="515">
        <f t="shared" si="13"/>
        <v>0</v>
      </c>
      <c r="AY48" s="336"/>
      <c r="AZ48" s="501" t="str">
        <f>IF(AW48=0,"",(+'wgl tot'!AW48/'wgl tot'!Q48-1))</f>
        <v/>
      </c>
      <c r="BA48" s="336"/>
      <c r="BB48" s="319"/>
      <c r="BE48" s="482">
        <f ca="1">YEAR('wgl tot'!$BE$10)-YEAR('wgl tot'!E48)</f>
        <v>118</v>
      </c>
      <c r="BF48" s="482">
        <f ca="1">MONTH('wgl tot'!$BE$10)-MONTH('wgl tot'!E48)</f>
        <v>0</v>
      </c>
      <c r="BG48" s="482">
        <f ca="1">DAY('wgl tot'!$BE$10)-DAY('wgl tot'!E48)</f>
        <v>3</v>
      </c>
      <c r="BH48" s="474">
        <f>IF(AND('wgl tot'!F48&gt;0,'wgl tot'!F48&lt;16),0,100)</f>
        <v>100</v>
      </c>
      <c r="BI48" s="474" t="e">
        <f>VLOOKUP('wgl tot'!F48,salaristabellen,22,FALSE)</f>
        <v>#N/A</v>
      </c>
      <c r="BJ48" s="474">
        <f t="shared" si="22"/>
        <v>0</v>
      </c>
      <c r="BK48" s="480">
        <v>42583</v>
      </c>
      <c r="BL48" s="483">
        <f t="shared" si="16"/>
        <v>0.08</v>
      </c>
      <c r="BM48" s="484">
        <f>+tabellen!$D$93</f>
        <v>6.3E-2</v>
      </c>
      <c r="BN48" s="482">
        <f>IF('wgl tot'!BH48=100,0,'wgl tot'!F48)</f>
        <v>0</v>
      </c>
      <c r="BO48" s="484" t="str">
        <f>IF(OR('wgl tot'!F48="DA",'wgl tot'!F48="DB",'wgl tot'!F48="DBuit",'wgl tot'!F48="DC",'wgl tot'!F48="DCuit",MID('wgl tot'!F48,1,5)="meerh"),"j","n")</f>
        <v>n</v>
      </c>
      <c r="BP48" s="485"/>
      <c r="BQ48" s="486" t="e">
        <f>IF('wgl tot'!AH48/'wgl tot'!H48&lt;tabellen!$E$53,0,(+'wgl tot'!AH48-tabellen!$E$53*'wgl tot'!H48)/12*tabellen!$D$53)</f>
        <v>#DIV/0!</v>
      </c>
      <c r="BR48" s="486" t="e">
        <f>IF('wgl tot'!AH48/'wgl tot'!H48&lt;tabellen!$E$54,0,(+'wgl tot'!AH48-tabellen!$E$54*'wgl tot'!H48)/12*tabellen!$D$54)</f>
        <v>#DIV/0!</v>
      </c>
      <c r="BS48" s="486">
        <f>'wgl tot'!AH48/12*tabellen!$D$55</f>
        <v>0</v>
      </c>
      <c r="BT48" s="487" t="e">
        <f t="shared" si="17"/>
        <v>#DIV/0!</v>
      </c>
      <c r="BU48" s="488" t="e">
        <f>+('wgl tot'!AF48+'wgl tot'!AI48)/12-'wgl tot'!BT48</f>
        <v>#DIV/0!</v>
      </c>
      <c r="BV48" s="488" t="e">
        <f>ROUND(IF('wgl tot'!BU48&gt;tabellen!$H$58,tabellen!$H$58,'wgl tot'!BU48)*tabellen!$C$58,2)</f>
        <v>#DIV/0!</v>
      </c>
      <c r="BW48" s="488" t="e">
        <f>+'wgl tot'!BU48+'wgl tot'!BV48</f>
        <v>#DIV/0!</v>
      </c>
      <c r="BX48" s="489">
        <f t="shared" si="23"/>
        <v>1900</v>
      </c>
      <c r="BY48" s="489">
        <f t="shared" si="24"/>
        <v>1</v>
      </c>
      <c r="BZ48" s="482">
        <f t="shared" si="25"/>
        <v>0</v>
      </c>
      <c r="CA48" s="480">
        <f t="shared" si="14"/>
        <v>22462</v>
      </c>
      <c r="CB48" s="480">
        <f t="shared" ca="1" si="15"/>
        <v>43103.670106134261</v>
      </c>
      <c r="CC48" s="474"/>
      <c r="CD48" s="480"/>
      <c r="CE48" s="474"/>
      <c r="CF48" s="485"/>
      <c r="CG48" s="485"/>
      <c r="CH48" s="485"/>
      <c r="CI48" s="485"/>
      <c r="CJ48" s="485"/>
      <c r="CK48" s="485"/>
    </row>
    <row r="49" spans="2:89" ht="13.5" customHeight="1" x14ac:dyDescent="0.2">
      <c r="B49" s="318"/>
      <c r="C49" s="336"/>
      <c r="D49" s="286"/>
      <c r="E49" s="287"/>
      <c r="F49" s="374"/>
      <c r="G49" s="288"/>
      <c r="H49" s="289"/>
      <c r="I49" s="288"/>
      <c r="J49" s="288"/>
      <c r="K49" s="288"/>
      <c r="L49" s="288"/>
      <c r="M49" s="288"/>
      <c r="N49" s="290"/>
      <c r="O49" s="336"/>
      <c r="P49" s="499">
        <f>IF(F49="",0,(VLOOKUP('wgl tot'!F49,salaristabellen,'wgl tot'!G49+1,FALSE)))</f>
        <v>0</v>
      </c>
      <c r="Q49" s="518">
        <f t="shared" si="18"/>
        <v>0</v>
      </c>
      <c r="R49" s="336"/>
      <c r="S49" s="493">
        <f>ROUND(IF(I49="j",VLOOKUP(BJ49,uitlooptoeslag,2,FALSE))*IF('wgl tot'!H49&gt;1,1,'wgl tot'!H49),2)</f>
        <v>0</v>
      </c>
      <c r="T49" s="493">
        <f>ROUND(IF(OR('wgl tot'!F49="LA",'wgl tot'!F49="LB"),IF(J49="j",tabellen!$C$79*'wgl tot'!H49,0),0),2)</f>
        <v>0</v>
      </c>
      <c r="U49" s="493">
        <f>ROUND(IF(('wgl tot'!Q49+'wgl tot'!S49+'wgl tot'!T49)*BL49&lt;'wgl tot'!H49*tabellen!$D$92,'wgl tot'!H49*tabellen!$D$92,('wgl tot'!Q49+'wgl tot'!S49+'wgl tot'!T49)*BL49),2)</f>
        <v>0</v>
      </c>
      <c r="V49" s="493">
        <f>ROUND(+('wgl tot'!Q49+'wgl tot'!S49+'wgl tot'!T49)*BM49,2)</f>
        <v>0</v>
      </c>
      <c r="W49" s="493">
        <f>+tabellen!$C$87*'wgl tot'!H49</f>
        <v>0</v>
      </c>
      <c r="X49" s="493">
        <f>VLOOKUP(BN49,eindejaarsuitkering_OOP,2,TRUE)*'wgl tot'!H49/12</f>
        <v>0</v>
      </c>
      <c r="Y49" s="493">
        <f>ROUND(IF(BO49="j",tabellen!$D$101*IF('wgl tot'!H49&gt;1,1,'wgl tot'!H49),0),2)</f>
        <v>0</v>
      </c>
      <c r="Z49" s="511">
        <f t="shared" si="9"/>
        <v>0</v>
      </c>
      <c r="AA49" s="338"/>
      <c r="AB49" s="339"/>
      <c r="AC49" s="492">
        <f t="shared" si="10"/>
        <v>0</v>
      </c>
      <c r="AD49" s="493">
        <f>ROUND(IF(L49="j",VLOOKUP(K49,bindingstoelage,2,FALSE))*IF('wgl tot'!H49&gt;1,1,'wgl tot'!H49),2)</f>
        <v>0</v>
      </c>
      <c r="AE49" s="493">
        <f>ROUND('wgl tot'!H49*tabellen!$D$99,2)</f>
        <v>0</v>
      </c>
      <c r="AF49" s="492">
        <f t="shared" si="11"/>
        <v>0</v>
      </c>
      <c r="AG49" s="336"/>
      <c r="AH49" s="492">
        <f t="shared" si="12"/>
        <v>0</v>
      </c>
      <c r="AI49" s="494">
        <f>IF('wgl tot'!E49&lt;1950,0,+('wgl tot'!Q49+'wgl tot'!S49+'wgl tot'!T49)*tabellen!$C$89)*12</f>
        <v>0</v>
      </c>
      <c r="AJ49" s="336"/>
      <c r="AK49" s="493">
        <f t="shared" si="19"/>
        <v>0</v>
      </c>
      <c r="AL49" s="493">
        <f>IF(F49="",0,(IF('wgl tot'!AH49/'wgl tot'!H49&lt;tabellen!$E$53,0,('wgl tot'!AH49-tabellen!$E$53*'wgl tot'!H49)/12)*tabellen!$C$53))</f>
        <v>0</v>
      </c>
      <c r="AM49" s="493">
        <f>IF(F49="",0,(IF('wgl tot'!AH49/'wgl tot'!H49&lt;tabellen!$E$54,0,(+'wgl tot'!AH49-tabellen!$E$54*'wgl tot'!H49)/12)*tabellen!$C$54))</f>
        <v>0</v>
      </c>
      <c r="AN49" s="493">
        <f>'wgl tot'!AH49/12*tabellen!$C$55</f>
        <v>0</v>
      </c>
      <c r="AO49" s="493">
        <f>IF(H49=0,0,IF(BU49&gt;tabellen!$G$56/12,tabellen!$G$56/12,BU49)*(tabellen!$C$56+tabellen!$C$57))</f>
        <v>0</v>
      </c>
      <c r="AP49" s="493">
        <f>IF(F49="",0,('wgl tot'!BV49))</f>
        <v>0</v>
      </c>
      <c r="AQ49" s="495">
        <f>IF(F49="",0,(IF('wgl tot'!BU49&gt;tabellen!$G$59*'wgl tot'!H49/12,tabellen!$G$59*'wgl tot'!H49/12,'wgl tot'!BU49)*tabellen!$C$59))</f>
        <v>0</v>
      </c>
      <c r="AR49" s="495">
        <f>IF(F49="",0,('wgl tot'!BU49*IF(N49=1,tabellen!$C$60,IF(N49=2,tabellen!C103,IF(N49=3,tabellen!$C$62,tabellen!$C$63)))))</f>
        <v>0</v>
      </c>
      <c r="AS49" s="495">
        <f>IF(F49="",0,('wgl tot'!BU49*tabellen!$C$64))</f>
        <v>0</v>
      </c>
      <c r="AT49" s="495">
        <f>+'wgl tot'!AI49/12</f>
        <v>0</v>
      </c>
      <c r="AU49" s="530">
        <v>0</v>
      </c>
      <c r="AV49" s="291">
        <f t="shared" si="20"/>
        <v>0</v>
      </c>
      <c r="AW49" s="515">
        <f t="shared" si="21"/>
        <v>0</v>
      </c>
      <c r="AX49" s="515">
        <f t="shared" si="13"/>
        <v>0</v>
      </c>
      <c r="AY49" s="336"/>
      <c r="AZ49" s="501" t="str">
        <f>IF(AW49=0,"",(+'wgl tot'!AW49/'wgl tot'!Q49-1))</f>
        <v/>
      </c>
      <c r="BA49" s="336"/>
      <c r="BB49" s="319"/>
      <c r="BE49" s="482">
        <f ca="1">YEAR('wgl tot'!$BE$10)-YEAR('wgl tot'!E49)</f>
        <v>118</v>
      </c>
      <c r="BF49" s="482">
        <f ca="1">MONTH('wgl tot'!$BE$10)-MONTH('wgl tot'!E49)</f>
        <v>0</v>
      </c>
      <c r="BG49" s="482">
        <f ca="1">DAY('wgl tot'!$BE$10)-DAY('wgl tot'!E49)</f>
        <v>3</v>
      </c>
      <c r="BH49" s="474">
        <f>IF(AND('wgl tot'!F49&gt;0,'wgl tot'!F49&lt;16),0,100)</f>
        <v>100</v>
      </c>
      <c r="BI49" s="474" t="e">
        <f>VLOOKUP('wgl tot'!F49,salaristabellen,22,FALSE)</f>
        <v>#N/A</v>
      </c>
      <c r="BJ49" s="474">
        <f t="shared" si="22"/>
        <v>0</v>
      </c>
      <c r="BK49" s="480">
        <v>42583</v>
      </c>
      <c r="BL49" s="483">
        <f t="shared" si="16"/>
        <v>0.08</v>
      </c>
      <c r="BM49" s="484">
        <f>+tabellen!$D$93</f>
        <v>6.3E-2</v>
      </c>
      <c r="BN49" s="482">
        <f>IF('wgl tot'!BH49=100,0,'wgl tot'!F49)</f>
        <v>0</v>
      </c>
      <c r="BO49" s="484" t="str">
        <f>IF(OR('wgl tot'!F49="DA",'wgl tot'!F49="DB",'wgl tot'!F49="DBuit",'wgl tot'!F49="DC",'wgl tot'!F49="DCuit",MID('wgl tot'!F49,1,5)="meerh"),"j","n")</f>
        <v>n</v>
      </c>
      <c r="BP49" s="485"/>
      <c r="BQ49" s="486" t="e">
        <f>IF('wgl tot'!AH49/'wgl tot'!H49&lt;tabellen!$E$53,0,(+'wgl tot'!AH49-tabellen!$E$53*'wgl tot'!H49)/12*tabellen!$D$53)</f>
        <v>#DIV/0!</v>
      </c>
      <c r="BR49" s="486" t="e">
        <f>IF('wgl tot'!AH49/'wgl tot'!H49&lt;tabellen!$E$54,0,(+'wgl tot'!AH49-tabellen!$E$54*'wgl tot'!H49)/12*tabellen!$D$54)</f>
        <v>#DIV/0!</v>
      </c>
      <c r="BS49" s="486">
        <f>'wgl tot'!AH49/12*tabellen!$D$55</f>
        <v>0</v>
      </c>
      <c r="BT49" s="487" t="e">
        <f t="shared" si="17"/>
        <v>#DIV/0!</v>
      </c>
      <c r="BU49" s="488" t="e">
        <f>+('wgl tot'!AF49+'wgl tot'!AI49)/12-'wgl tot'!BT49</f>
        <v>#DIV/0!</v>
      </c>
      <c r="BV49" s="488" t="e">
        <f>ROUND(IF('wgl tot'!BU49&gt;tabellen!$H$58,tabellen!$H$58,'wgl tot'!BU49)*tabellen!$C$58,2)</f>
        <v>#DIV/0!</v>
      </c>
      <c r="BW49" s="488" t="e">
        <f>+'wgl tot'!BU49+'wgl tot'!BV49</f>
        <v>#DIV/0!</v>
      </c>
      <c r="BX49" s="489">
        <f t="shared" si="23"/>
        <v>1900</v>
      </c>
      <c r="BY49" s="489">
        <f t="shared" si="24"/>
        <v>1</v>
      </c>
      <c r="BZ49" s="482">
        <f t="shared" si="25"/>
        <v>0</v>
      </c>
      <c r="CA49" s="480">
        <f t="shared" si="14"/>
        <v>22462</v>
      </c>
      <c r="CB49" s="480">
        <f t="shared" ca="1" si="15"/>
        <v>43103.670106134261</v>
      </c>
      <c r="CC49" s="474"/>
      <c r="CD49" s="480"/>
      <c r="CE49" s="474"/>
      <c r="CF49" s="485"/>
      <c r="CG49" s="485"/>
      <c r="CH49" s="485"/>
      <c r="CI49" s="485"/>
      <c r="CJ49" s="485"/>
      <c r="CK49" s="485"/>
    </row>
    <row r="50" spans="2:89" ht="13.5" customHeight="1" x14ac:dyDescent="0.2">
      <c r="B50" s="318"/>
      <c r="C50" s="336"/>
      <c r="D50" s="286"/>
      <c r="E50" s="287"/>
      <c r="F50" s="374"/>
      <c r="G50" s="288"/>
      <c r="H50" s="289"/>
      <c r="I50" s="288"/>
      <c r="J50" s="288"/>
      <c r="K50" s="288"/>
      <c r="L50" s="288"/>
      <c r="M50" s="288"/>
      <c r="N50" s="290"/>
      <c r="O50" s="336"/>
      <c r="P50" s="499">
        <f>IF(F50="",0,(VLOOKUP('wgl tot'!F50,salaristabellen,'wgl tot'!G50+1,FALSE)))</f>
        <v>0</v>
      </c>
      <c r="Q50" s="518">
        <f t="shared" si="18"/>
        <v>0</v>
      </c>
      <c r="R50" s="336"/>
      <c r="S50" s="493">
        <f>ROUND(IF(I50="j",VLOOKUP(BJ50,uitlooptoeslag,2,FALSE))*IF('wgl tot'!H50&gt;1,1,'wgl tot'!H50),2)</f>
        <v>0</v>
      </c>
      <c r="T50" s="493">
        <f>ROUND(IF(OR('wgl tot'!F50="LA",'wgl tot'!F50="LB"),IF(J50="j",tabellen!$C$79*'wgl tot'!H50,0),0),2)</f>
        <v>0</v>
      </c>
      <c r="U50" s="493">
        <f>ROUND(IF(('wgl tot'!Q50+'wgl tot'!S50+'wgl tot'!T50)*BL50&lt;'wgl tot'!H50*tabellen!$D$92,'wgl tot'!H50*tabellen!$D$92,('wgl tot'!Q50+'wgl tot'!S50+'wgl tot'!T50)*BL50),2)</f>
        <v>0</v>
      </c>
      <c r="V50" s="493">
        <f>ROUND(+('wgl tot'!Q50+'wgl tot'!S50+'wgl tot'!T50)*BM50,2)</f>
        <v>0</v>
      </c>
      <c r="W50" s="493">
        <f>+tabellen!$C$87*'wgl tot'!H50</f>
        <v>0</v>
      </c>
      <c r="X50" s="493">
        <f>VLOOKUP(BN50,eindejaarsuitkering_OOP,2,TRUE)*'wgl tot'!H50/12</f>
        <v>0</v>
      </c>
      <c r="Y50" s="493">
        <f>ROUND(IF(BO50="j",tabellen!$D$101*IF('wgl tot'!H50&gt;1,1,'wgl tot'!H50),0),2)</f>
        <v>0</v>
      </c>
      <c r="Z50" s="511">
        <f t="shared" si="9"/>
        <v>0</v>
      </c>
      <c r="AA50" s="338"/>
      <c r="AB50" s="339"/>
      <c r="AC50" s="492">
        <f t="shared" si="10"/>
        <v>0</v>
      </c>
      <c r="AD50" s="493">
        <f>ROUND(IF(L50="j",VLOOKUP(K50,bindingstoelage,2,FALSE))*IF('wgl tot'!H50&gt;1,1,'wgl tot'!H50),2)</f>
        <v>0</v>
      </c>
      <c r="AE50" s="493">
        <f>ROUND('wgl tot'!H50*tabellen!$D$99,2)</f>
        <v>0</v>
      </c>
      <c r="AF50" s="492">
        <f t="shared" si="11"/>
        <v>0</v>
      </c>
      <c r="AG50" s="336"/>
      <c r="AH50" s="492">
        <f t="shared" si="12"/>
        <v>0</v>
      </c>
      <c r="AI50" s="494">
        <f>IF('wgl tot'!E50&lt;1950,0,+('wgl tot'!Q50+'wgl tot'!S50+'wgl tot'!T50)*tabellen!$C$89)*12</f>
        <v>0</v>
      </c>
      <c r="AJ50" s="336"/>
      <c r="AK50" s="493">
        <f t="shared" si="19"/>
        <v>0</v>
      </c>
      <c r="AL50" s="493">
        <f>IF(F50="",0,(IF('wgl tot'!AH50/'wgl tot'!H50&lt;tabellen!$E$53,0,('wgl tot'!AH50-tabellen!$E$53*'wgl tot'!H50)/12)*tabellen!$C$53))</f>
        <v>0</v>
      </c>
      <c r="AM50" s="493">
        <f>IF(F50="",0,(IF('wgl tot'!AH50/'wgl tot'!H50&lt;tabellen!$E$54,0,(+'wgl tot'!AH50-tabellen!$E$54*'wgl tot'!H50)/12)*tabellen!$C$54))</f>
        <v>0</v>
      </c>
      <c r="AN50" s="493">
        <f>'wgl tot'!AH50/12*tabellen!$C$55</f>
        <v>0</v>
      </c>
      <c r="AO50" s="493">
        <f>IF(H50=0,0,IF(BU50&gt;tabellen!$G$56/12,tabellen!$G$56/12,BU50)*(tabellen!$C$56+tabellen!$C$57))</f>
        <v>0</v>
      </c>
      <c r="AP50" s="493">
        <f>IF(F50="",0,('wgl tot'!BV50))</f>
        <v>0</v>
      </c>
      <c r="AQ50" s="495">
        <f>IF(F50="",0,(IF('wgl tot'!BU50&gt;tabellen!$G$59*'wgl tot'!H50/12,tabellen!$G$59*'wgl tot'!H50/12,'wgl tot'!BU50)*tabellen!$C$59))</f>
        <v>0</v>
      </c>
      <c r="AR50" s="495">
        <f>IF(F50="",0,('wgl tot'!BU50*IF(N50=1,tabellen!$C$60,IF(N50=2,tabellen!C104,IF(N50=3,tabellen!$C$62,tabellen!$C$63)))))</f>
        <v>0</v>
      </c>
      <c r="AS50" s="495">
        <f>IF(F50="",0,('wgl tot'!BU50*tabellen!$C$64))</f>
        <v>0</v>
      </c>
      <c r="AT50" s="495">
        <f>+'wgl tot'!AI50/12</f>
        <v>0</v>
      </c>
      <c r="AU50" s="530">
        <v>0</v>
      </c>
      <c r="AV50" s="291">
        <f t="shared" si="20"/>
        <v>0</v>
      </c>
      <c r="AW50" s="515">
        <f t="shared" si="21"/>
        <v>0</v>
      </c>
      <c r="AX50" s="515">
        <f t="shared" si="13"/>
        <v>0</v>
      </c>
      <c r="AY50" s="336"/>
      <c r="AZ50" s="501" t="str">
        <f>IF(AW50=0,"",(+'wgl tot'!AW50/'wgl tot'!Q50-1))</f>
        <v/>
      </c>
      <c r="BA50" s="336"/>
      <c r="BB50" s="319"/>
      <c r="BE50" s="482">
        <f ca="1">YEAR('wgl tot'!$BE$10)-YEAR('wgl tot'!E50)</f>
        <v>118</v>
      </c>
      <c r="BF50" s="482">
        <f ca="1">MONTH('wgl tot'!$BE$10)-MONTH('wgl tot'!E50)</f>
        <v>0</v>
      </c>
      <c r="BG50" s="482">
        <f ca="1">DAY('wgl tot'!$BE$10)-DAY('wgl tot'!E50)</f>
        <v>3</v>
      </c>
      <c r="BH50" s="474">
        <f>IF(AND('wgl tot'!F50&gt;0,'wgl tot'!F50&lt;16),0,100)</f>
        <v>100</v>
      </c>
      <c r="BI50" s="474" t="e">
        <f>VLOOKUP('wgl tot'!F50,salaristabellen,22,FALSE)</f>
        <v>#N/A</v>
      </c>
      <c r="BJ50" s="474">
        <f t="shared" si="22"/>
        <v>0</v>
      </c>
      <c r="BK50" s="480">
        <v>42583</v>
      </c>
      <c r="BL50" s="483">
        <f t="shared" si="16"/>
        <v>0.08</v>
      </c>
      <c r="BM50" s="484">
        <f>+tabellen!$D$93</f>
        <v>6.3E-2</v>
      </c>
      <c r="BN50" s="482">
        <f>IF('wgl tot'!BH50=100,0,'wgl tot'!F50)</f>
        <v>0</v>
      </c>
      <c r="BO50" s="484" t="str">
        <f>IF(OR('wgl tot'!F50="DA",'wgl tot'!F50="DB",'wgl tot'!F50="DBuit",'wgl tot'!F50="DC",'wgl tot'!F50="DCuit",MID('wgl tot'!F50,1,5)="meerh"),"j","n")</f>
        <v>n</v>
      </c>
      <c r="BP50" s="485"/>
      <c r="BQ50" s="486" t="e">
        <f>IF('wgl tot'!AH50/'wgl tot'!H50&lt;tabellen!$E$53,0,(+'wgl tot'!AH50-tabellen!$E$53*'wgl tot'!H50)/12*tabellen!$D$53)</f>
        <v>#DIV/0!</v>
      </c>
      <c r="BR50" s="486" t="e">
        <f>IF('wgl tot'!AH50/'wgl tot'!H50&lt;tabellen!$E$54,0,(+'wgl tot'!AH50-tabellen!$E$54*'wgl tot'!H50)/12*tabellen!$D$54)</f>
        <v>#DIV/0!</v>
      </c>
      <c r="BS50" s="486">
        <f>'wgl tot'!AH50/12*tabellen!$D$55</f>
        <v>0</v>
      </c>
      <c r="BT50" s="487" t="e">
        <f t="shared" si="17"/>
        <v>#DIV/0!</v>
      </c>
      <c r="BU50" s="488" t="e">
        <f>+('wgl tot'!AF50+'wgl tot'!AI50)/12-'wgl tot'!BT50</f>
        <v>#DIV/0!</v>
      </c>
      <c r="BV50" s="488" t="e">
        <f>ROUND(IF('wgl tot'!BU50&gt;tabellen!$H$58,tabellen!$H$58,'wgl tot'!BU50)*tabellen!$C$58,2)</f>
        <v>#DIV/0!</v>
      </c>
      <c r="BW50" s="488" t="e">
        <f>+'wgl tot'!BU50+'wgl tot'!BV50</f>
        <v>#DIV/0!</v>
      </c>
      <c r="BX50" s="489">
        <f t="shared" si="23"/>
        <v>1900</v>
      </c>
      <c r="BY50" s="489">
        <f t="shared" si="24"/>
        <v>1</v>
      </c>
      <c r="BZ50" s="482">
        <f t="shared" si="25"/>
        <v>0</v>
      </c>
      <c r="CA50" s="480">
        <f t="shared" si="14"/>
        <v>22462</v>
      </c>
      <c r="CB50" s="480">
        <f t="shared" ca="1" si="15"/>
        <v>43103.670106134261</v>
      </c>
      <c r="CC50" s="474"/>
      <c r="CD50" s="480"/>
      <c r="CE50" s="474"/>
      <c r="CF50" s="485"/>
      <c r="CG50" s="485"/>
      <c r="CH50" s="485"/>
      <c r="CI50" s="485"/>
      <c r="CJ50" s="485"/>
      <c r="CK50" s="485"/>
    </row>
    <row r="51" spans="2:89" ht="13.5" customHeight="1" x14ac:dyDescent="0.2">
      <c r="B51" s="318"/>
      <c r="C51" s="336"/>
      <c r="D51" s="286"/>
      <c r="E51" s="287"/>
      <c r="F51" s="374"/>
      <c r="G51" s="288"/>
      <c r="H51" s="289"/>
      <c r="I51" s="288"/>
      <c r="J51" s="288"/>
      <c r="K51" s="288"/>
      <c r="L51" s="288"/>
      <c r="M51" s="288"/>
      <c r="N51" s="290"/>
      <c r="O51" s="336"/>
      <c r="P51" s="499">
        <f>IF(F51="",0,(VLOOKUP('wgl tot'!F51,salaristabellen,'wgl tot'!G51+1,FALSE)))</f>
        <v>0</v>
      </c>
      <c r="Q51" s="518">
        <f t="shared" si="18"/>
        <v>0</v>
      </c>
      <c r="R51" s="336"/>
      <c r="S51" s="493">
        <f>ROUND(IF(I51="j",VLOOKUP(BJ51,uitlooptoeslag,2,FALSE))*IF('wgl tot'!H51&gt;1,1,'wgl tot'!H51),2)</f>
        <v>0</v>
      </c>
      <c r="T51" s="493">
        <f>ROUND(IF(OR('wgl tot'!F51="LA",'wgl tot'!F51="LB"),IF(J51="j",tabellen!$C$79*'wgl tot'!H51,0),0),2)</f>
        <v>0</v>
      </c>
      <c r="U51" s="493">
        <f>ROUND(IF(('wgl tot'!Q51+'wgl tot'!S51+'wgl tot'!T51)*BL51&lt;'wgl tot'!H51*tabellen!$D$92,'wgl tot'!H51*tabellen!$D$92,('wgl tot'!Q51+'wgl tot'!S51+'wgl tot'!T51)*BL51),2)</f>
        <v>0</v>
      </c>
      <c r="V51" s="493">
        <f>ROUND(+('wgl tot'!Q51+'wgl tot'!S51+'wgl tot'!T51)*BM51,2)</f>
        <v>0</v>
      </c>
      <c r="W51" s="493">
        <f>+tabellen!$C$87*'wgl tot'!H51</f>
        <v>0</v>
      </c>
      <c r="X51" s="493">
        <f>VLOOKUP(BN51,eindejaarsuitkering_OOP,2,TRUE)*'wgl tot'!H51/12</f>
        <v>0</v>
      </c>
      <c r="Y51" s="493">
        <f>ROUND(IF(BO51="j",tabellen!$D$101*IF('wgl tot'!H51&gt;1,1,'wgl tot'!H51),0),2)</f>
        <v>0</v>
      </c>
      <c r="Z51" s="511">
        <f t="shared" si="9"/>
        <v>0</v>
      </c>
      <c r="AA51" s="338"/>
      <c r="AB51" s="339"/>
      <c r="AC51" s="492">
        <f t="shared" si="10"/>
        <v>0</v>
      </c>
      <c r="AD51" s="493">
        <f>ROUND(IF(L51="j",VLOOKUP(K51,bindingstoelage,2,FALSE))*IF('wgl tot'!H51&gt;1,1,'wgl tot'!H51),2)</f>
        <v>0</v>
      </c>
      <c r="AE51" s="493">
        <f>ROUND('wgl tot'!H51*tabellen!$D$99,2)</f>
        <v>0</v>
      </c>
      <c r="AF51" s="492">
        <f t="shared" si="11"/>
        <v>0</v>
      </c>
      <c r="AG51" s="336"/>
      <c r="AH51" s="492">
        <f t="shared" si="12"/>
        <v>0</v>
      </c>
      <c r="AI51" s="494">
        <f>IF('wgl tot'!E51&lt;1950,0,+('wgl tot'!Q51+'wgl tot'!S51+'wgl tot'!T51)*tabellen!$C$89)*12</f>
        <v>0</v>
      </c>
      <c r="AJ51" s="336"/>
      <c r="AK51" s="493">
        <f t="shared" si="19"/>
        <v>0</v>
      </c>
      <c r="AL51" s="493">
        <f>IF(F51="",0,(IF('wgl tot'!AH51/'wgl tot'!H51&lt;tabellen!$E$53,0,('wgl tot'!AH51-tabellen!$E$53*'wgl tot'!H51)/12)*tabellen!$C$53))</f>
        <v>0</v>
      </c>
      <c r="AM51" s="493">
        <f>IF(F51="",0,(IF('wgl tot'!AH51/'wgl tot'!H51&lt;tabellen!$E$54,0,(+'wgl tot'!AH51-tabellen!$E$54*'wgl tot'!H51)/12)*tabellen!$C$54))</f>
        <v>0</v>
      </c>
      <c r="AN51" s="493">
        <f>'wgl tot'!AH51/12*tabellen!$C$55</f>
        <v>0</v>
      </c>
      <c r="AO51" s="493">
        <f>IF(H51=0,0,IF(BU51&gt;tabellen!$G$56/12,tabellen!$G$56/12,BU51)*(tabellen!$C$56+tabellen!$C$57))</f>
        <v>0</v>
      </c>
      <c r="AP51" s="493">
        <f>IF(F51="",0,('wgl tot'!BV51))</f>
        <v>0</v>
      </c>
      <c r="AQ51" s="495">
        <f>IF(F51="",0,(IF('wgl tot'!BU51&gt;tabellen!$G$59*'wgl tot'!H51/12,tabellen!$G$59*'wgl tot'!H51/12,'wgl tot'!BU51)*tabellen!$C$59))</f>
        <v>0</v>
      </c>
      <c r="AR51" s="495">
        <f>IF(F51="",0,('wgl tot'!BU51*IF(N51=1,tabellen!$C$60,IF(N51=2,tabellen!C105,IF(N51=3,tabellen!$C$62,tabellen!$C$63)))))</f>
        <v>0</v>
      </c>
      <c r="AS51" s="495">
        <f>IF(F51="",0,('wgl tot'!BU51*tabellen!$C$64))</f>
        <v>0</v>
      </c>
      <c r="AT51" s="495">
        <f>+'wgl tot'!AI51/12</f>
        <v>0</v>
      </c>
      <c r="AU51" s="530">
        <v>0</v>
      </c>
      <c r="AV51" s="291">
        <f t="shared" si="20"/>
        <v>0</v>
      </c>
      <c r="AW51" s="515">
        <f t="shared" si="21"/>
        <v>0</v>
      </c>
      <c r="AX51" s="515">
        <f t="shared" si="13"/>
        <v>0</v>
      </c>
      <c r="AY51" s="336"/>
      <c r="AZ51" s="501" t="str">
        <f>IF(AW51=0,"",(+'wgl tot'!AW51/'wgl tot'!Q51-1))</f>
        <v/>
      </c>
      <c r="BA51" s="336"/>
      <c r="BB51" s="319"/>
      <c r="BE51" s="482">
        <f ca="1">YEAR('wgl tot'!$BE$10)-YEAR('wgl tot'!E51)</f>
        <v>118</v>
      </c>
      <c r="BF51" s="482">
        <f ca="1">MONTH('wgl tot'!$BE$10)-MONTH('wgl tot'!E51)</f>
        <v>0</v>
      </c>
      <c r="BG51" s="482">
        <f ca="1">DAY('wgl tot'!$BE$10)-DAY('wgl tot'!E51)</f>
        <v>3</v>
      </c>
      <c r="BH51" s="474">
        <f>IF(AND('wgl tot'!F51&gt;0,'wgl tot'!F51&lt;16),0,100)</f>
        <v>100</v>
      </c>
      <c r="BI51" s="474" t="e">
        <f>VLOOKUP('wgl tot'!F51,salaristabellen,22,FALSE)</f>
        <v>#N/A</v>
      </c>
      <c r="BJ51" s="474">
        <f t="shared" si="22"/>
        <v>0</v>
      </c>
      <c r="BK51" s="480">
        <v>42583</v>
      </c>
      <c r="BL51" s="483">
        <f t="shared" si="16"/>
        <v>0.08</v>
      </c>
      <c r="BM51" s="484">
        <f>+tabellen!$D$93</f>
        <v>6.3E-2</v>
      </c>
      <c r="BN51" s="482">
        <f>IF('wgl tot'!BH51=100,0,'wgl tot'!F51)</f>
        <v>0</v>
      </c>
      <c r="BO51" s="484" t="str">
        <f>IF(OR('wgl tot'!F51="DA",'wgl tot'!F51="DB",'wgl tot'!F51="DBuit",'wgl tot'!F51="DC",'wgl tot'!F51="DCuit",MID('wgl tot'!F51,1,5)="meerh"),"j","n")</f>
        <v>n</v>
      </c>
      <c r="BP51" s="485"/>
      <c r="BQ51" s="486" t="e">
        <f>IF('wgl tot'!AH51/'wgl tot'!H51&lt;tabellen!$E$53,0,(+'wgl tot'!AH51-tabellen!$E$53*'wgl tot'!H51)/12*tabellen!$D$53)</f>
        <v>#DIV/0!</v>
      </c>
      <c r="BR51" s="486" t="e">
        <f>IF('wgl tot'!AH51/'wgl tot'!H51&lt;tabellen!$E$54,0,(+'wgl tot'!AH51-tabellen!$E$54*'wgl tot'!H51)/12*tabellen!$D$54)</f>
        <v>#DIV/0!</v>
      </c>
      <c r="BS51" s="486">
        <f>'wgl tot'!AH51/12*tabellen!$D$55</f>
        <v>0</v>
      </c>
      <c r="BT51" s="487" t="e">
        <f t="shared" si="17"/>
        <v>#DIV/0!</v>
      </c>
      <c r="BU51" s="488" t="e">
        <f>+('wgl tot'!AF51+'wgl tot'!AI51)/12-'wgl tot'!BT51</f>
        <v>#DIV/0!</v>
      </c>
      <c r="BV51" s="488" t="e">
        <f>ROUND(IF('wgl tot'!BU51&gt;tabellen!$H$58,tabellen!$H$58,'wgl tot'!BU51)*tabellen!$C$58,2)</f>
        <v>#DIV/0!</v>
      </c>
      <c r="BW51" s="488" t="e">
        <f>+'wgl tot'!BU51+'wgl tot'!BV51</f>
        <v>#DIV/0!</v>
      </c>
      <c r="BX51" s="489">
        <f t="shared" si="23"/>
        <v>1900</v>
      </c>
      <c r="BY51" s="489">
        <f t="shared" si="24"/>
        <v>1</v>
      </c>
      <c r="BZ51" s="482">
        <f t="shared" si="25"/>
        <v>0</v>
      </c>
      <c r="CA51" s="480">
        <f t="shared" si="14"/>
        <v>22462</v>
      </c>
      <c r="CB51" s="480">
        <f t="shared" ca="1" si="15"/>
        <v>43103.670106134261</v>
      </c>
      <c r="CC51" s="474"/>
      <c r="CD51" s="480"/>
      <c r="CE51" s="474"/>
      <c r="CF51" s="485"/>
      <c r="CG51" s="485"/>
      <c r="CH51" s="485"/>
      <c r="CI51" s="485"/>
      <c r="CJ51" s="485"/>
      <c r="CK51" s="485"/>
    </row>
    <row r="52" spans="2:89" ht="13.5" customHeight="1" x14ac:dyDescent="0.2">
      <c r="B52" s="318"/>
      <c r="C52" s="336"/>
      <c r="D52" s="286"/>
      <c r="E52" s="287"/>
      <c r="F52" s="374"/>
      <c r="G52" s="288"/>
      <c r="H52" s="289"/>
      <c r="I52" s="288"/>
      <c r="J52" s="288"/>
      <c r="K52" s="288"/>
      <c r="L52" s="288"/>
      <c r="M52" s="288"/>
      <c r="N52" s="290"/>
      <c r="O52" s="336"/>
      <c r="P52" s="499">
        <f>IF(F52="",0,(VLOOKUP('wgl tot'!F52,salaristabellen,'wgl tot'!G52+1,FALSE)))</f>
        <v>0</v>
      </c>
      <c r="Q52" s="518">
        <f t="shared" si="18"/>
        <v>0</v>
      </c>
      <c r="R52" s="336"/>
      <c r="S52" s="493">
        <f>ROUND(IF(I52="j",VLOOKUP(BJ52,uitlooptoeslag,2,FALSE))*IF('wgl tot'!H52&gt;1,1,'wgl tot'!H52),2)</f>
        <v>0</v>
      </c>
      <c r="T52" s="493">
        <f>ROUND(IF(OR('wgl tot'!F52="LA",'wgl tot'!F52="LB"),IF(J52="j",tabellen!$C$79*'wgl tot'!H52,0),0),2)</f>
        <v>0</v>
      </c>
      <c r="U52" s="493">
        <f>ROUND(IF(('wgl tot'!Q52+'wgl tot'!S52+'wgl tot'!T52)*BL52&lt;'wgl tot'!H52*tabellen!$D$92,'wgl tot'!H52*tabellen!$D$92,('wgl tot'!Q52+'wgl tot'!S52+'wgl tot'!T52)*BL52),2)</f>
        <v>0</v>
      </c>
      <c r="V52" s="493">
        <f>ROUND(+('wgl tot'!Q52+'wgl tot'!S52+'wgl tot'!T52)*BM52,2)</f>
        <v>0</v>
      </c>
      <c r="W52" s="493">
        <f>+tabellen!$C$87*'wgl tot'!H52</f>
        <v>0</v>
      </c>
      <c r="X52" s="493">
        <f>VLOOKUP(BN52,eindejaarsuitkering_OOP,2,TRUE)*'wgl tot'!H52/12</f>
        <v>0</v>
      </c>
      <c r="Y52" s="493">
        <f>ROUND(IF(BO52="j",tabellen!$D$101*IF('wgl tot'!H52&gt;1,1,'wgl tot'!H52),0),2)</f>
        <v>0</v>
      </c>
      <c r="Z52" s="511">
        <f t="shared" si="9"/>
        <v>0</v>
      </c>
      <c r="AA52" s="338"/>
      <c r="AB52" s="339"/>
      <c r="AC52" s="492">
        <f t="shared" si="10"/>
        <v>0</v>
      </c>
      <c r="AD52" s="493">
        <f>ROUND(IF(L52="j",VLOOKUP(K52,bindingstoelage,2,FALSE))*IF('wgl tot'!H52&gt;1,1,'wgl tot'!H52),2)</f>
        <v>0</v>
      </c>
      <c r="AE52" s="493">
        <f>ROUND('wgl tot'!H52*tabellen!$D$99,2)</f>
        <v>0</v>
      </c>
      <c r="AF52" s="492">
        <f t="shared" si="11"/>
        <v>0</v>
      </c>
      <c r="AG52" s="336"/>
      <c r="AH52" s="492">
        <f t="shared" si="12"/>
        <v>0</v>
      </c>
      <c r="AI52" s="494">
        <f>IF('wgl tot'!E52&lt;1950,0,+('wgl tot'!Q52+'wgl tot'!S52+'wgl tot'!T52)*tabellen!$C$89)*12</f>
        <v>0</v>
      </c>
      <c r="AJ52" s="336"/>
      <c r="AK52" s="493">
        <f t="shared" si="19"/>
        <v>0</v>
      </c>
      <c r="AL52" s="493">
        <f>IF(F52="",0,(IF('wgl tot'!AH52/'wgl tot'!H52&lt;tabellen!$E$53,0,('wgl tot'!AH52-tabellen!$E$53*'wgl tot'!H52)/12)*tabellen!$C$53))</f>
        <v>0</v>
      </c>
      <c r="AM52" s="493">
        <f>IF(F52="",0,(IF('wgl tot'!AH52/'wgl tot'!H52&lt;tabellen!$E$54,0,(+'wgl tot'!AH52-tabellen!$E$54*'wgl tot'!H52)/12)*tabellen!$C$54))</f>
        <v>0</v>
      </c>
      <c r="AN52" s="493">
        <f>'wgl tot'!AH52/12*tabellen!$C$55</f>
        <v>0</v>
      </c>
      <c r="AO52" s="493">
        <f>IF(H52=0,0,IF(BU52&gt;tabellen!$G$56/12,tabellen!$G$56/12,BU52)*(tabellen!$C$56+tabellen!$C$57))</f>
        <v>0</v>
      </c>
      <c r="AP52" s="493">
        <f>IF(F52="",0,('wgl tot'!BV52))</f>
        <v>0</v>
      </c>
      <c r="AQ52" s="495">
        <f>IF(F52="",0,(IF('wgl tot'!BU52&gt;tabellen!$G$59*'wgl tot'!H52/12,tabellen!$G$59*'wgl tot'!H52/12,'wgl tot'!BU52)*tabellen!$C$59))</f>
        <v>0</v>
      </c>
      <c r="AR52" s="495">
        <f>IF(F52="",0,('wgl tot'!BU52*IF(N52=1,tabellen!$C$60,IF(N52=2,tabellen!C106,IF(N52=3,tabellen!$C$62,tabellen!$C$63)))))</f>
        <v>0</v>
      </c>
      <c r="AS52" s="495">
        <f>IF(F52="",0,('wgl tot'!BU52*tabellen!$C$64))</f>
        <v>0</v>
      </c>
      <c r="AT52" s="495">
        <f>+'wgl tot'!AI52/12</f>
        <v>0</v>
      </c>
      <c r="AU52" s="530">
        <v>0</v>
      </c>
      <c r="AV52" s="291">
        <f t="shared" si="20"/>
        <v>0</v>
      </c>
      <c r="AW52" s="515">
        <f t="shared" si="21"/>
        <v>0</v>
      </c>
      <c r="AX52" s="515">
        <f t="shared" si="13"/>
        <v>0</v>
      </c>
      <c r="AY52" s="336"/>
      <c r="AZ52" s="501" t="str">
        <f>IF(AW52=0,"",(+'wgl tot'!AW52/'wgl tot'!Q52-1))</f>
        <v/>
      </c>
      <c r="BA52" s="336"/>
      <c r="BB52" s="319"/>
      <c r="BE52" s="482">
        <f ca="1">YEAR('wgl tot'!$BE$10)-YEAR('wgl tot'!E52)</f>
        <v>118</v>
      </c>
      <c r="BF52" s="482">
        <f ca="1">MONTH('wgl tot'!$BE$10)-MONTH('wgl tot'!E52)</f>
        <v>0</v>
      </c>
      <c r="BG52" s="482">
        <f ca="1">DAY('wgl tot'!$BE$10)-DAY('wgl tot'!E52)</f>
        <v>3</v>
      </c>
      <c r="BH52" s="474">
        <f>IF(AND('wgl tot'!F52&gt;0,'wgl tot'!F52&lt;16),0,100)</f>
        <v>100</v>
      </c>
      <c r="BI52" s="474" t="e">
        <f>VLOOKUP('wgl tot'!F52,salaristabellen,22,FALSE)</f>
        <v>#N/A</v>
      </c>
      <c r="BJ52" s="474">
        <f t="shared" si="22"/>
        <v>0</v>
      </c>
      <c r="BK52" s="480">
        <v>42583</v>
      </c>
      <c r="BL52" s="483">
        <f t="shared" si="16"/>
        <v>0.08</v>
      </c>
      <c r="BM52" s="484">
        <f>+tabellen!$D$93</f>
        <v>6.3E-2</v>
      </c>
      <c r="BN52" s="482">
        <f>IF('wgl tot'!BH52=100,0,'wgl tot'!F52)</f>
        <v>0</v>
      </c>
      <c r="BO52" s="484" t="str">
        <f>IF(OR('wgl tot'!F52="DA",'wgl tot'!F52="DB",'wgl tot'!F52="DBuit",'wgl tot'!F52="DC",'wgl tot'!F52="DCuit",MID('wgl tot'!F52,1,5)="meerh"),"j","n")</f>
        <v>n</v>
      </c>
      <c r="BP52" s="485"/>
      <c r="BQ52" s="486" t="e">
        <f>IF('wgl tot'!AH52/'wgl tot'!H52&lt;tabellen!$E$53,0,(+'wgl tot'!AH52-tabellen!$E$53*'wgl tot'!H52)/12*tabellen!$D$53)</f>
        <v>#DIV/0!</v>
      </c>
      <c r="BR52" s="486" t="e">
        <f>IF('wgl tot'!AH52/'wgl tot'!H52&lt;tabellen!$E$54,0,(+'wgl tot'!AH52-tabellen!$E$54*'wgl tot'!H52)/12*tabellen!$D$54)</f>
        <v>#DIV/0!</v>
      </c>
      <c r="BS52" s="486">
        <f>'wgl tot'!AH52/12*tabellen!$D$55</f>
        <v>0</v>
      </c>
      <c r="BT52" s="487" t="e">
        <f t="shared" si="17"/>
        <v>#DIV/0!</v>
      </c>
      <c r="BU52" s="488" t="e">
        <f>+('wgl tot'!AF52+'wgl tot'!AI52)/12-'wgl tot'!BT52</f>
        <v>#DIV/0!</v>
      </c>
      <c r="BV52" s="488" t="e">
        <f>ROUND(IF('wgl tot'!BU52&gt;tabellen!$H$58,tabellen!$H$58,'wgl tot'!BU52)*tabellen!$C$58,2)</f>
        <v>#DIV/0!</v>
      </c>
      <c r="BW52" s="488" t="e">
        <f>+'wgl tot'!BU52+'wgl tot'!BV52</f>
        <v>#DIV/0!</v>
      </c>
      <c r="BX52" s="489">
        <f t="shared" si="23"/>
        <v>1900</v>
      </c>
      <c r="BY52" s="489">
        <f t="shared" si="24"/>
        <v>1</v>
      </c>
      <c r="BZ52" s="482">
        <f t="shared" si="25"/>
        <v>0</v>
      </c>
      <c r="CA52" s="480">
        <f t="shared" si="14"/>
        <v>22462</v>
      </c>
      <c r="CB52" s="480">
        <f t="shared" ca="1" si="15"/>
        <v>43103.670106134261</v>
      </c>
      <c r="CC52" s="474"/>
      <c r="CD52" s="480"/>
      <c r="CE52" s="474"/>
      <c r="CF52" s="485"/>
      <c r="CG52" s="485"/>
      <c r="CH52" s="485"/>
      <c r="CI52" s="485"/>
      <c r="CJ52" s="485"/>
      <c r="CK52" s="485"/>
    </row>
    <row r="53" spans="2:89" ht="13.5" customHeight="1" x14ac:dyDescent="0.2">
      <c r="B53" s="318"/>
      <c r="C53" s="336"/>
      <c r="D53" s="286"/>
      <c r="E53" s="287"/>
      <c r="F53" s="374"/>
      <c r="G53" s="288"/>
      <c r="H53" s="289"/>
      <c r="I53" s="288"/>
      <c r="J53" s="288"/>
      <c r="K53" s="288"/>
      <c r="L53" s="288"/>
      <c r="M53" s="288"/>
      <c r="N53" s="290"/>
      <c r="O53" s="336"/>
      <c r="P53" s="499">
        <f>IF(F53="",0,(VLOOKUP('wgl tot'!F53,salaristabellen,'wgl tot'!G53+1,FALSE)))</f>
        <v>0</v>
      </c>
      <c r="Q53" s="518">
        <f t="shared" si="18"/>
        <v>0</v>
      </c>
      <c r="R53" s="336"/>
      <c r="S53" s="493">
        <f>ROUND(IF(I53="j",VLOOKUP(BJ53,uitlooptoeslag,2,FALSE))*IF('wgl tot'!H53&gt;1,1,'wgl tot'!H53),2)</f>
        <v>0</v>
      </c>
      <c r="T53" s="493">
        <f>ROUND(IF(OR('wgl tot'!F53="LA",'wgl tot'!F53="LB"),IF(J53="j",tabellen!$C$79*'wgl tot'!H53,0),0),2)</f>
        <v>0</v>
      </c>
      <c r="U53" s="493">
        <f>ROUND(IF(('wgl tot'!Q53+'wgl tot'!S53+'wgl tot'!T53)*BL53&lt;'wgl tot'!H53*tabellen!$D$92,'wgl tot'!H53*tabellen!$D$92,('wgl tot'!Q53+'wgl tot'!S53+'wgl tot'!T53)*BL53),2)</f>
        <v>0</v>
      </c>
      <c r="V53" s="493">
        <f>ROUND(+('wgl tot'!Q53+'wgl tot'!S53+'wgl tot'!T53)*BM53,2)</f>
        <v>0</v>
      </c>
      <c r="W53" s="493">
        <f>+tabellen!$C$87*'wgl tot'!H53</f>
        <v>0</v>
      </c>
      <c r="X53" s="493">
        <f>VLOOKUP(BN53,eindejaarsuitkering_OOP,2,TRUE)*'wgl tot'!H53/12</f>
        <v>0</v>
      </c>
      <c r="Y53" s="493">
        <f>ROUND(IF(BO53="j",tabellen!$D$101*IF('wgl tot'!H53&gt;1,1,'wgl tot'!H53),0),2)</f>
        <v>0</v>
      </c>
      <c r="Z53" s="511">
        <f t="shared" si="9"/>
        <v>0</v>
      </c>
      <c r="AA53" s="338"/>
      <c r="AB53" s="339"/>
      <c r="AC53" s="492">
        <f t="shared" si="10"/>
        <v>0</v>
      </c>
      <c r="AD53" s="493">
        <f>ROUND(IF(L53="j",VLOOKUP(K53,bindingstoelage,2,FALSE))*IF('wgl tot'!H53&gt;1,1,'wgl tot'!H53),2)</f>
        <v>0</v>
      </c>
      <c r="AE53" s="493">
        <f>ROUND('wgl tot'!H53*tabellen!$D$99,2)</f>
        <v>0</v>
      </c>
      <c r="AF53" s="492">
        <f t="shared" si="11"/>
        <v>0</v>
      </c>
      <c r="AG53" s="336"/>
      <c r="AH53" s="492">
        <f t="shared" si="12"/>
        <v>0</v>
      </c>
      <c r="AI53" s="494">
        <f>IF('wgl tot'!E53&lt;1950,0,+('wgl tot'!Q53+'wgl tot'!S53+'wgl tot'!T53)*tabellen!$C$89)*12</f>
        <v>0</v>
      </c>
      <c r="AJ53" s="336"/>
      <c r="AK53" s="493">
        <f t="shared" si="19"/>
        <v>0</v>
      </c>
      <c r="AL53" s="493">
        <f>IF(F53="",0,(IF('wgl tot'!AH53/'wgl tot'!H53&lt;tabellen!$E$53,0,('wgl tot'!AH53-tabellen!$E$53*'wgl tot'!H53)/12)*tabellen!$C$53))</f>
        <v>0</v>
      </c>
      <c r="AM53" s="493">
        <f>IF(F53="",0,(IF('wgl tot'!AH53/'wgl tot'!H53&lt;tabellen!$E$54,0,(+'wgl tot'!AH53-tabellen!$E$54*'wgl tot'!H53)/12)*tabellen!$C$54))</f>
        <v>0</v>
      </c>
      <c r="AN53" s="493">
        <f>'wgl tot'!AH53/12*tabellen!$C$55</f>
        <v>0</v>
      </c>
      <c r="AO53" s="493">
        <f>IF(H53=0,0,IF(BU53&gt;tabellen!$G$56/12,tabellen!$G$56/12,BU53)*(tabellen!$C$56+tabellen!$C$57))</f>
        <v>0</v>
      </c>
      <c r="AP53" s="493">
        <f>IF(F53="",0,('wgl tot'!BV53))</f>
        <v>0</v>
      </c>
      <c r="AQ53" s="495">
        <f>IF(F53="",0,(IF('wgl tot'!BU53&gt;tabellen!$G$59*'wgl tot'!H53/12,tabellen!$G$59*'wgl tot'!H53/12,'wgl tot'!BU53)*tabellen!$C$59))</f>
        <v>0</v>
      </c>
      <c r="AR53" s="495">
        <f>IF(F53="",0,('wgl tot'!BU53*IF(N53=1,tabellen!$C$60,IF(N53=2,tabellen!C107,IF(N53=3,tabellen!$C$62,tabellen!$C$63)))))</f>
        <v>0</v>
      </c>
      <c r="AS53" s="495">
        <f>IF(F53="",0,('wgl tot'!BU53*tabellen!$C$64))</f>
        <v>0</v>
      </c>
      <c r="AT53" s="495">
        <f>+'wgl tot'!AI53/12</f>
        <v>0</v>
      </c>
      <c r="AU53" s="530">
        <v>0</v>
      </c>
      <c r="AV53" s="291">
        <f t="shared" si="20"/>
        <v>0</v>
      </c>
      <c r="AW53" s="515">
        <f t="shared" si="21"/>
        <v>0</v>
      </c>
      <c r="AX53" s="515">
        <f t="shared" si="13"/>
        <v>0</v>
      </c>
      <c r="AY53" s="336"/>
      <c r="AZ53" s="501" t="str">
        <f>IF(AW53=0,"",(+'wgl tot'!AW53/'wgl tot'!Q53-1))</f>
        <v/>
      </c>
      <c r="BA53" s="336"/>
      <c r="BB53" s="319"/>
      <c r="BE53" s="482">
        <f ca="1">YEAR('wgl tot'!$BE$10)-YEAR('wgl tot'!E53)</f>
        <v>118</v>
      </c>
      <c r="BF53" s="482">
        <f ca="1">MONTH('wgl tot'!$BE$10)-MONTH('wgl tot'!E53)</f>
        <v>0</v>
      </c>
      <c r="BG53" s="482">
        <f ca="1">DAY('wgl tot'!$BE$10)-DAY('wgl tot'!E53)</f>
        <v>3</v>
      </c>
      <c r="BH53" s="474">
        <f>IF(AND('wgl tot'!F53&gt;0,'wgl tot'!F53&lt;16),0,100)</f>
        <v>100</v>
      </c>
      <c r="BI53" s="474" t="e">
        <f>VLOOKUP('wgl tot'!F53,salaristabellen,22,FALSE)</f>
        <v>#N/A</v>
      </c>
      <c r="BJ53" s="474">
        <f t="shared" si="22"/>
        <v>0</v>
      </c>
      <c r="BK53" s="480">
        <v>42583</v>
      </c>
      <c r="BL53" s="483">
        <f t="shared" si="16"/>
        <v>0.08</v>
      </c>
      <c r="BM53" s="484">
        <f>+tabellen!$D$93</f>
        <v>6.3E-2</v>
      </c>
      <c r="BN53" s="482">
        <f>IF('wgl tot'!BH53=100,0,'wgl tot'!F53)</f>
        <v>0</v>
      </c>
      <c r="BO53" s="484" t="str">
        <f>IF(OR('wgl tot'!F53="DA",'wgl tot'!F53="DB",'wgl tot'!F53="DBuit",'wgl tot'!F53="DC",'wgl tot'!F53="DCuit",MID('wgl tot'!F53,1,5)="meerh"),"j","n")</f>
        <v>n</v>
      </c>
      <c r="BP53" s="485"/>
      <c r="BQ53" s="486" t="e">
        <f>IF('wgl tot'!AH53/'wgl tot'!H53&lt;tabellen!$E$53,0,(+'wgl tot'!AH53-tabellen!$E$53*'wgl tot'!H53)/12*tabellen!$D$53)</f>
        <v>#DIV/0!</v>
      </c>
      <c r="BR53" s="486" t="e">
        <f>IF('wgl tot'!AH53/'wgl tot'!H53&lt;tabellen!$E$54,0,(+'wgl tot'!AH53-tabellen!$E$54*'wgl tot'!H53)/12*tabellen!$D$54)</f>
        <v>#DIV/0!</v>
      </c>
      <c r="BS53" s="486">
        <f>'wgl tot'!AH53/12*tabellen!$D$55</f>
        <v>0</v>
      </c>
      <c r="BT53" s="487" t="e">
        <f t="shared" si="17"/>
        <v>#DIV/0!</v>
      </c>
      <c r="BU53" s="488" t="e">
        <f>+('wgl tot'!AF53+'wgl tot'!AI53)/12-'wgl tot'!BT53</f>
        <v>#DIV/0!</v>
      </c>
      <c r="BV53" s="488" t="e">
        <f>ROUND(IF('wgl tot'!BU53&gt;tabellen!$H$58,tabellen!$H$58,'wgl tot'!BU53)*tabellen!$C$58,2)</f>
        <v>#DIV/0!</v>
      </c>
      <c r="BW53" s="488" t="e">
        <f>+'wgl tot'!BU53+'wgl tot'!BV53</f>
        <v>#DIV/0!</v>
      </c>
      <c r="BX53" s="489">
        <f t="shared" si="23"/>
        <v>1900</v>
      </c>
      <c r="BY53" s="489">
        <f t="shared" si="24"/>
        <v>1</v>
      </c>
      <c r="BZ53" s="482">
        <f t="shared" si="25"/>
        <v>0</v>
      </c>
      <c r="CA53" s="480">
        <f t="shared" si="14"/>
        <v>22462</v>
      </c>
      <c r="CB53" s="480">
        <f t="shared" ca="1" si="15"/>
        <v>43103.670106134261</v>
      </c>
      <c r="CC53" s="474"/>
      <c r="CD53" s="480"/>
      <c r="CE53" s="474"/>
      <c r="CF53" s="485"/>
      <c r="CG53" s="485"/>
      <c r="CH53" s="485"/>
      <c r="CI53" s="485"/>
      <c r="CJ53" s="485"/>
      <c r="CK53" s="485"/>
    </row>
    <row r="54" spans="2:89" ht="13.5" customHeight="1" x14ac:dyDescent="0.2">
      <c r="B54" s="318"/>
      <c r="C54" s="336"/>
      <c r="D54" s="286"/>
      <c r="E54" s="287"/>
      <c r="F54" s="374"/>
      <c r="G54" s="288"/>
      <c r="H54" s="289"/>
      <c r="I54" s="288"/>
      <c r="J54" s="288"/>
      <c r="K54" s="288"/>
      <c r="L54" s="288"/>
      <c r="M54" s="288"/>
      <c r="N54" s="290"/>
      <c r="O54" s="336"/>
      <c r="P54" s="499">
        <f>IF(F54="",0,(VLOOKUP('wgl tot'!F54,salaristabellen,'wgl tot'!G54+1,FALSE)))</f>
        <v>0</v>
      </c>
      <c r="Q54" s="518">
        <f t="shared" si="18"/>
        <v>0</v>
      </c>
      <c r="R54" s="336"/>
      <c r="S54" s="493">
        <f>ROUND(IF(I54="j",VLOOKUP(BJ54,uitlooptoeslag,2,FALSE))*IF('wgl tot'!H54&gt;1,1,'wgl tot'!H54),2)</f>
        <v>0</v>
      </c>
      <c r="T54" s="493">
        <f>ROUND(IF(OR('wgl tot'!F54="LA",'wgl tot'!F54="LB"),IF(J54="j",tabellen!$C$79*'wgl tot'!H54,0),0),2)</f>
        <v>0</v>
      </c>
      <c r="U54" s="493">
        <f>ROUND(IF(('wgl tot'!Q54+'wgl tot'!S54+'wgl tot'!T54)*BL54&lt;'wgl tot'!H54*tabellen!$D$92,'wgl tot'!H54*tabellen!$D$92,('wgl tot'!Q54+'wgl tot'!S54+'wgl tot'!T54)*BL54),2)</f>
        <v>0</v>
      </c>
      <c r="V54" s="493">
        <f>ROUND(+('wgl tot'!Q54+'wgl tot'!S54+'wgl tot'!T54)*BM54,2)</f>
        <v>0</v>
      </c>
      <c r="W54" s="493">
        <f>+tabellen!$C$87*'wgl tot'!H54</f>
        <v>0</v>
      </c>
      <c r="X54" s="493">
        <f>VLOOKUP(BN54,eindejaarsuitkering_OOP,2,TRUE)*'wgl tot'!H54/12</f>
        <v>0</v>
      </c>
      <c r="Y54" s="493">
        <f>ROUND(IF(BO54="j",tabellen!$D$101*IF('wgl tot'!H54&gt;1,1,'wgl tot'!H54),0),2)</f>
        <v>0</v>
      </c>
      <c r="Z54" s="511">
        <f t="shared" si="9"/>
        <v>0</v>
      </c>
      <c r="AA54" s="338"/>
      <c r="AB54" s="339"/>
      <c r="AC54" s="492">
        <f t="shared" si="10"/>
        <v>0</v>
      </c>
      <c r="AD54" s="493">
        <f>ROUND(IF(L54="j",VLOOKUP(K54,bindingstoelage,2,FALSE))*IF('wgl tot'!H54&gt;1,1,'wgl tot'!H54),2)</f>
        <v>0</v>
      </c>
      <c r="AE54" s="493">
        <f>ROUND('wgl tot'!H54*tabellen!$D$99,2)</f>
        <v>0</v>
      </c>
      <c r="AF54" s="492">
        <f t="shared" si="11"/>
        <v>0</v>
      </c>
      <c r="AG54" s="336"/>
      <c r="AH54" s="492">
        <f t="shared" si="12"/>
        <v>0</v>
      </c>
      <c r="AI54" s="494">
        <f>IF('wgl tot'!E54&lt;1950,0,+('wgl tot'!Q54+'wgl tot'!S54+'wgl tot'!T54)*tabellen!$C$89)*12</f>
        <v>0</v>
      </c>
      <c r="AJ54" s="336"/>
      <c r="AK54" s="493">
        <f t="shared" si="19"/>
        <v>0</v>
      </c>
      <c r="AL54" s="493">
        <f>IF(F54="",0,(IF('wgl tot'!AH54/'wgl tot'!H54&lt;tabellen!$E$53,0,('wgl tot'!AH54-tabellen!$E$53*'wgl tot'!H54)/12)*tabellen!$C$53))</f>
        <v>0</v>
      </c>
      <c r="AM54" s="493">
        <f>IF(F54="",0,(IF('wgl tot'!AH54/'wgl tot'!H54&lt;tabellen!$E$54,0,(+'wgl tot'!AH54-tabellen!$E$54*'wgl tot'!H54)/12)*tabellen!$C$54))</f>
        <v>0</v>
      </c>
      <c r="AN54" s="493">
        <f>'wgl tot'!AH54/12*tabellen!$C$55</f>
        <v>0</v>
      </c>
      <c r="AO54" s="493">
        <f>IF(H54=0,0,IF(BU54&gt;tabellen!$G$56/12,tabellen!$G$56/12,BU54)*(tabellen!$C$56+tabellen!$C$57))</f>
        <v>0</v>
      </c>
      <c r="AP54" s="493">
        <f>IF(F54="",0,('wgl tot'!BV54))</f>
        <v>0</v>
      </c>
      <c r="AQ54" s="495">
        <f>IF(F54="",0,(IF('wgl tot'!BU54&gt;tabellen!$G$59*'wgl tot'!H54/12,tabellen!$G$59*'wgl tot'!H54/12,'wgl tot'!BU54)*tabellen!$C$59))</f>
        <v>0</v>
      </c>
      <c r="AR54" s="495">
        <f>IF(F54="",0,('wgl tot'!BU54*IF(N54=1,tabellen!$C$60,IF(N54=2,tabellen!C108,IF(N54=3,tabellen!$C$62,tabellen!$C$63)))))</f>
        <v>0</v>
      </c>
      <c r="AS54" s="495">
        <f>IF(F54="",0,('wgl tot'!BU54*tabellen!$C$64))</f>
        <v>0</v>
      </c>
      <c r="AT54" s="495">
        <f>+'wgl tot'!AI54/12</f>
        <v>0</v>
      </c>
      <c r="AU54" s="530">
        <v>0</v>
      </c>
      <c r="AV54" s="291">
        <f t="shared" si="20"/>
        <v>0</v>
      </c>
      <c r="AW54" s="515">
        <f t="shared" si="21"/>
        <v>0</v>
      </c>
      <c r="AX54" s="515">
        <f t="shared" si="13"/>
        <v>0</v>
      </c>
      <c r="AY54" s="336"/>
      <c r="AZ54" s="501" t="str">
        <f>IF(AW54=0,"",(+'wgl tot'!AW54/'wgl tot'!Q54-1))</f>
        <v/>
      </c>
      <c r="BA54" s="336"/>
      <c r="BB54" s="319"/>
      <c r="BE54" s="482">
        <f ca="1">YEAR('wgl tot'!$BE$10)-YEAR('wgl tot'!E54)</f>
        <v>118</v>
      </c>
      <c r="BF54" s="482">
        <f ca="1">MONTH('wgl tot'!$BE$10)-MONTH('wgl tot'!E54)</f>
        <v>0</v>
      </c>
      <c r="BG54" s="482">
        <f ca="1">DAY('wgl tot'!$BE$10)-DAY('wgl tot'!E54)</f>
        <v>3</v>
      </c>
      <c r="BH54" s="474">
        <f>IF(AND('wgl tot'!F54&gt;0,'wgl tot'!F54&lt;16),0,100)</f>
        <v>100</v>
      </c>
      <c r="BI54" s="474" t="e">
        <f>VLOOKUP('wgl tot'!F54,salaristabellen,22,FALSE)</f>
        <v>#N/A</v>
      </c>
      <c r="BJ54" s="474">
        <f t="shared" si="22"/>
        <v>0</v>
      </c>
      <c r="BK54" s="480">
        <v>42583</v>
      </c>
      <c r="BL54" s="483">
        <f t="shared" si="16"/>
        <v>0.08</v>
      </c>
      <c r="BM54" s="484">
        <f>+tabellen!$D$93</f>
        <v>6.3E-2</v>
      </c>
      <c r="BN54" s="482">
        <f>IF('wgl tot'!BH54=100,0,'wgl tot'!F54)</f>
        <v>0</v>
      </c>
      <c r="BO54" s="484" t="str">
        <f>IF(OR('wgl tot'!F54="DA",'wgl tot'!F54="DB",'wgl tot'!F54="DBuit",'wgl tot'!F54="DC",'wgl tot'!F54="DCuit",MID('wgl tot'!F54,1,5)="meerh"),"j","n")</f>
        <v>n</v>
      </c>
      <c r="BP54" s="485"/>
      <c r="BQ54" s="486" t="e">
        <f>IF('wgl tot'!AH54/'wgl tot'!H54&lt;tabellen!$E$53,0,(+'wgl tot'!AH54-tabellen!$E$53*'wgl tot'!H54)/12*tabellen!$D$53)</f>
        <v>#DIV/0!</v>
      </c>
      <c r="BR54" s="486" t="e">
        <f>IF('wgl tot'!AH54/'wgl tot'!H54&lt;tabellen!$E$54,0,(+'wgl tot'!AH54-tabellen!$E$54*'wgl tot'!H54)/12*tabellen!$D$54)</f>
        <v>#DIV/0!</v>
      </c>
      <c r="BS54" s="486">
        <f>'wgl tot'!AH54/12*tabellen!$D$55</f>
        <v>0</v>
      </c>
      <c r="BT54" s="487" t="e">
        <f t="shared" si="17"/>
        <v>#DIV/0!</v>
      </c>
      <c r="BU54" s="488" t="e">
        <f>+('wgl tot'!AF54+'wgl tot'!AI54)/12-'wgl tot'!BT54</f>
        <v>#DIV/0!</v>
      </c>
      <c r="BV54" s="488" t="e">
        <f>ROUND(IF('wgl tot'!BU54&gt;tabellen!$H$58,tabellen!$H$58,'wgl tot'!BU54)*tabellen!$C$58,2)</f>
        <v>#DIV/0!</v>
      </c>
      <c r="BW54" s="488" t="e">
        <f>+'wgl tot'!BU54+'wgl tot'!BV54</f>
        <v>#DIV/0!</v>
      </c>
      <c r="BX54" s="489">
        <f t="shared" si="23"/>
        <v>1900</v>
      </c>
      <c r="BY54" s="489">
        <f t="shared" si="24"/>
        <v>1</v>
      </c>
      <c r="BZ54" s="482">
        <f t="shared" si="25"/>
        <v>0</v>
      </c>
      <c r="CA54" s="480">
        <f t="shared" si="14"/>
        <v>22462</v>
      </c>
      <c r="CB54" s="480">
        <f t="shared" ca="1" si="15"/>
        <v>43103.670106134261</v>
      </c>
      <c r="CC54" s="474"/>
      <c r="CD54" s="480"/>
      <c r="CE54" s="474"/>
      <c r="CF54" s="485"/>
      <c r="CG54" s="485"/>
      <c r="CH54" s="485"/>
      <c r="CI54" s="485"/>
      <c r="CJ54" s="485"/>
      <c r="CK54" s="485"/>
    </row>
    <row r="55" spans="2:89" ht="13.5" customHeight="1" x14ac:dyDescent="0.2">
      <c r="B55" s="318"/>
      <c r="C55" s="336"/>
      <c r="D55" s="286"/>
      <c r="E55" s="287"/>
      <c r="F55" s="374"/>
      <c r="G55" s="288"/>
      <c r="H55" s="289"/>
      <c r="I55" s="288"/>
      <c r="J55" s="288"/>
      <c r="K55" s="288"/>
      <c r="L55" s="288"/>
      <c r="M55" s="288"/>
      <c r="N55" s="290"/>
      <c r="O55" s="336"/>
      <c r="P55" s="499">
        <f>IF(F55="",0,(VLOOKUP('wgl tot'!F55,salaristabellen,'wgl tot'!G55+1,FALSE)))</f>
        <v>0</v>
      </c>
      <c r="Q55" s="518">
        <f t="shared" si="18"/>
        <v>0</v>
      </c>
      <c r="R55" s="336"/>
      <c r="S55" s="493">
        <f>ROUND(IF(I55="j",VLOOKUP(BJ55,uitlooptoeslag,2,FALSE))*IF('wgl tot'!H55&gt;1,1,'wgl tot'!H55),2)</f>
        <v>0</v>
      </c>
      <c r="T55" s="493">
        <f>ROUND(IF(OR('wgl tot'!F55="LA",'wgl tot'!F55="LB"),IF(J55="j",tabellen!$C$79*'wgl tot'!H55,0),0),2)</f>
        <v>0</v>
      </c>
      <c r="U55" s="493">
        <f>ROUND(IF(('wgl tot'!Q55+'wgl tot'!S55+'wgl tot'!T55)*BL55&lt;'wgl tot'!H55*tabellen!$D$92,'wgl tot'!H55*tabellen!$D$92,('wgl tot'!Q55+'wgl tot'!S55+'wgl tot'!T55)*BL55),2)</f>
        <v>0</v>
      </c>
      <c r="V55" s="493">
        <f>ROUND(+('wgl tot'!Q55+'wgl tot'!S55+'wgl tot'!T55)*BM55,2)</f>
        <v>0</v>
      </c>
      <c r="W55" s="493">
        <f>+tabellen!$C$87*'wgl tot'!H55</f>
        <v>0</v>
      </c>
      <c r="X55" s="493">
        <f>VLOOKUP(BN55,eindejaarsuitkering_OOP,2,TRUE)*'wgl tot'!H55/12</f>
        <v>0</v>
      </c>
      <c r="Y55" s="493">
        <f>ROUND(IF(BO55="j",tabellen!$D$101*IF('wgl tot'!H55&gt;1,1,'wgl tot'!H55),0),2)</f>
        <v>0</v>
      </c>
      <c r="Z55" s="511">
        <f t="shared" si="9"/>
        <v>0</v>
      </c>
      <c r="AA55" s="338"/>
      <c r="AB55" s="339"/>
      <c r="AC55" s="492">
        <f t="shared" si="10"/>
        <v>0</v>
      </c>
      <c r="AD55" s="493">
        <f>ROUND(IF(L55="j",VLOOKUP(K55,bindingstoelage,2,FALSE))*IF('wgl tot'!H55&gt;1,1,'wgl tot'!H55),2)</f>
        <v>0</v>
      </c>
      <c r="AE55" s="493">
        <f>ROUND('wgl tot'!H55*tabellen!$D$99,2)</f>
        <v>0</v>
      </c>
      <c r="AF55" s="492">
        <f t="shared" si="11"/>
        <v>0</v>
      </c>
      <c r="AG55" s="336"/>
      <c r="AH55" s="492">
        <f t="shared" si="12"/>
        <v>0</v>
      </c>
      <c r="AI55" s="494">
        <f>IF('wgl tot'!E55&lt;1950,0,+('wgl tot'!Q55+'wgl tot'!S55+'wgl tot'!T55)*tabellen!$C$89)*12</f>
        <v>0</v>
      </c>
      <c r="AJ55" s="336"/>
      <c r="AK55" s="493">
        <f t="shared" si="19"/>
        <v>0</v>
      </c>
      <c r="AL55" s="493">
        <f>IF(F55="",0,(IF('wgl tot'!AH55/'wgl tot'!H55&lt;tabellen!$E$53,0,('wgl tot'!AH55-tabellen!$E$53*'wgl tot'!H55)/12)*tabellen!$C$53))</f>
        <v>0</v>
      </c>
      <c r="AM55" s="493">
        <f>IF(F55="",0,(IF('wgl tot'!AH55/'wgl tot'!H55&lt;tabellen!$E$54,0,(+'wgl tot'!AH55-tabellen!$E$54*'wgl tot'!H55)/12)*tabellen!$C$54))</f>
        <v>0</v>
      </c>
      <c r="AN55" s="493">
        <f>'wgl tot'!AH55/12*tabellen!$C$55</f>
        <v>0</v>
      </c>
      <c r="AO55" s="493">
        <f>IF(H55=0,0,IF(BU55&gt;tabellen!$G$56/12,tabellen!$G$56/12,BU55)*(tabellen!$C$56+tabellen!$C$57))</f>
        <v>0</v>
      </c>
      <c r="AP55" s="493">
        <f>IF(F55="",0,('wgl tot'!BV55))</f>
        <v>0</v>
      </c>
      <c r="AQ55" s="495">
        <f>IF(F55="",0,(IF('wgl tot'!BU55&gt;tabellen!$G$59*'wgl tot'!H55/12,tabellen!$G$59*'wgl tot'!H55/12,'wgl tot'!BU55)*tabellen!$C$59))</f>
        <v>0</v>
      </c>
      <c r="AR55" s="495">
        <f>IF(F55="",0,('wgl tot'!BU55*IF(N55=1,tabellen!$C$60,IF(N55=2,tabellen!C109,IF(N55=3,tabellen!$C$62,tabellen!$C$63)))))</f>
        <v>0</v>
      </c>
      <c r="AS55" s="495">
        <f>IF(F55="",0,('wgl tot'!BU55*tabellen!$C$64))</f>
        <v>0</v>
      </c>
      <c r="AT55" s="495">
        <f>+'wgl tot'!AI55/12</f>
        <v>0</v>
      </c>
      <c r="AU55" s="530">
        <v>0</v>
      </c>
      <c r="AV55" s="291">
        <f t="shared" si="20"/>
        <v>0</v>
      </c>
      <c r="AW55" s="515">
        <f t="shared" si="21"/>
        <v>0</v>
      </c>
      <c r="AX55" s="515">
        <f t="shared" si="13"/>
        <v>0</v>
      </c>
      <c r="AY55" s="336"/>
      <c r="AZ55" s="501" t="str">
        <f>IF(AW55=0,"",(+'wgl tot'!AW55/'wgl tot'!Q55-1))</f>
        <v/>
      </c>
      <c r="BA55" s="336"/>
      <c r="BB55" s="319"/>
      <c r="BE55" s="482">
        <f ca="1">YEAR('wgl tot'!$BE$10)-YEAR('wgl tot'!E55)</f>
        <v>118</v>
      </c>
      <c r="BF55" s="482">
        <f ca="1">MONTH('wgl tot'!$BE$10)-MONTH('wgl tot'!E55)</f>
        <v>0</v>
      </c>
      <c r="BG55" s="482">
        <f ca="1">DAY('wgl tot'!$BE$10)-DAY('wgl tot'!E55)</f>
        <v>3</v>
      </c>
      <c r="BH55" s="474">
        <f>IF(AND('wgl tot'!F55&gt;0,'wgl tot'!F55&lt;16),0,100)</f>
        <v>100</v>
      </c>
      <c r="BI55" s="474" t="e">
        <f>VLOOKUP('wgl tot'!F55,salaristabellen,22,FALSE)</f>
        <v>#N/A</v>
      </c>
      <c r="BJ55" s="474">
        <f t="shared" si="22"/>
        <v>0</v>
      </c>
      <c r="BK55" s="480">
        <v>42583</v>
      </c>
      <c r="BL55" s="483">
        <f t="shared" si="16"/>
        <v>0.08</v>
      </c>
      <c r="BM55" s="484">
        <f>+tabellen!$D$93</f>
        <v>6.3E-2</v>
      </c>
      <c r="BN55" s="482">
        <f>IF('wgl tot'!BH55=100,0,'wgl tot'!F55)</f>
        <v>0</v>
      </c>
      <c r="BO55" s="484" t="str">
        <f>IF(OR('wgl tot'!F55="DA",'wgl tot'!F55="DB",'wgl tot'!F55="DBuit",'wgl tot'!F55="DC",'wgl tot'!F55="DCuit",MID('wgl tot'!F55,1,5)="meerh"),"j","n")</f>
        <v>n</v>
      </c>
      <c r="BP55" s="485"/>
      <c r="BQ55" s="486" t="e">
        <f>IF('wgl tot'!AH55/'wgl tot'!H55&lt;tabellen!$E$53,0,(+'wgl tot'!AH55-tabellen!$E$53*'wgl tot'!H55)/12*tabellen!$D$53)</f>
        <v>#DIV/0!</v>
      </c>
      <c r="BR55" s="486" t="e">
        <f>IF('wgl tot'!AH55/'wgl tot'!H55&lt;tabellen!$E$54,0,(+'wgl tot'!AH55-tabellen!$E$54*'wgl tot'!H55)/12*tabellen!$D$54)</f>
        <v>#DIV/0!</v>
      </c>
      <c r="BS55" s="486">
        <f>'wgl tot'!AH55/12*tabellen!$D$55</f>
        <v>0</v>
      </c>
      <c r="BT55" s="487" t="e">
        <f t="shared" si="17"/>
        <v>#DIV/0!</v>
      </c>
      <c r="BU55" s="488" t="e">
        <f>+('wgl tot'!AF55+'wgl tot'!AI55)/12-'wgl tot'!BT55</f>
        <v>#DIV/0!</v>
      </c>
      <c r="BV55" s="488" t="e">
        <f>ROUND(IF('wgl tot'!BU55&gt;tabellen!$H$58,tabellen!$H$58,'wgl tot'!BU55)*tabellen!$C$58,2)</f>
        <v>#DIV/0!</v>
      </c>
      <c r="BW55" s="488" t="e">
        <f>+'wgl tot'!BU55+'wgl tot'!BV55</f>
        <v>#DIV/0!</v>
      </c>
      <c r="BX55" s="489">
        <f t="shared" si="23"/>
        <v>1900</v>
      </c>
      <c r="BY55" s="489">
        <f t="shared" si="24"/>
        <v>1</v>
      </c>
      <c r="BZ55" s="482">
        <f t="shared" si="25"/>
        <v>0</v>
      </c>
      <c r="CA55" s="480">
        <f t="shared" si="14"/>
        <v>22462</v>
      </c>
      <c r="CB55" s="480">
        <f t="shared" ca="1" si="15"/>
        <v>43103.670106134261</v>
      </c>
      <c r="CC55" s="474"/>
      <c r="CD55" s="480"/>
      <c r="CE55" s="474"/>
      <c r="CF55" s="485"/>
      <c r="CG55" s="485"/>
      <c r="CH55" s="485"/>
      <c r="CI55" s="485"/>
      <c r="CJ55" s="485"/>
      <c r="CK55" s="485"/>
    </row>
    <row r="56" spans="2:89" ht="13.5" customHeight="1" x14ac:dyDescent="0.2">
      <c r="B56" s="318"/>
      <c r="C56" s="336"/>
      <c r="D56" s="286"/>
      <c r="E56" s="287"/>
      <c r="F56" s="374"/>
      <c r="G56" s="288"/>
      <c r="H56" s="289"/>
      <c r="I56" s="288"/>
      <c r="J56" s="288"/>
      <c r="K56" s="288"/>
      <c r="L56" s="288"/>
      <c r="M56" s="288"/>
      <c r="N56" s="290"/>
      <c r="O56" s="336"/>
      <c r="P56" s="499">
        <f>IF(F56="",0,(VLOOKUP('wgl tot'!F56,salaristabellen,'wgl tot'!G56+1,FALSE)))</f>
        <v>0</v>
      </c>
      <c r="Q56" s="518">
        <f t="shared" si="18"/>
        <v>0</v>
      </c>
      <c r="R56" s="336"/>
      <c r="S56" s="493">
        <f>ROUND(IF(I56="j",VLOOKUP(BJ56,uitlooptoeslag,2,FALSE))*IF('wgl tot'!H56&gt;1,1,'wgl tot'!H56),2)</f>
        <v>0</v>
      </c>
      <c r="T56" s="493">
        <f>ROUND(IF(OR('wgl tot'!F56="LA",'wgl tot'!F56="LB"),IF(J56="j",tabellen!$C$79*'wgl tot'!H56,0),0),2)</f>
        <v>0</v>
      </c>
      <c r="U56" s="493">
        <f>ROUND(IF(('wgl tot'!Q56+'wgl tot'!S56+'wgl tot'!T56)*BL56&lt;'wgl tot'!H56*tabellen!$D$92,'wgl tot'!H56*tabellen!$D$92,('wgl tot'!Q56+'wgl tot'!S56+'wgl tot'!T56)*BL56),2)</f>
        <v>0</v>
      </c>
      <c r="V56" s="493">
        <f>ROUND(+('wgl tot'!Q56+'wgl tot'!S56+'wgl tot'!T56)*BM56,2)</f>
        <v>0</v>
      </c>
      <c r="W56" s="493">
        <f>+tabellen!$C$87*'wgl tot'!H56</f>
        <v>0</v>
      </c>
      <c r="X56" s="493">
        <f>VLOOKUP(BN56,eindejaarsuitkering_OOP,2,TRUE)*'wgl tot'!H56/12</f>
        <v>0</v>
      </c>
      <c r="Y56" s="493">
        <f>ROUND(IF(BO56="j",tabellen!$D$101*IF('wgl tot'!H56&gt;1,1,'wgl tot'!H56),0),2)</f>
        <v>0</v>
      </c>
      <c r="Z56" s="511">
        <f t="shared" si="9"/>
        <v>0</v>
      </c>
      <c r="AA56" s="338"/>
      <c r="AB56" s="339"/>
      <c r="AC56" s="492">
        <f t="shared" si="10"/>
        <v>0</v>
      </c>
      <c r="AD56" s="493">
        <f>ROUND(IF(L56="j",VLOOKUP(K56,bindingstoelage,2,FALSE))*IF('wgl tot'!H56&gt;1,1,'wgl tot'!H56),2)</f>
        <v>0</v>
      </c>
      <c r="AE56" s="493">
        <f>ROUND('wgl tot'!H56*tabellen!$D$99,2)</f>
        <v>0</v>
      </c>
      <c r="AF56" s="492">
        <f t="shared" si="11"/>
        <v>0</v>
      </c>
      <c r="AG56" s="336"/>
      <c r="AH56" s="492">
        <f t="shared" si="12"/>
        <v>0</v>
      </c>
      <c r="AI56" s="494">
        <f>IF('wgl tot'!E56&lt;1950,0,+('wgl tot'!Q56+'wgl tot'!S56+'wgl tot'!T56)*tabellen!$C$89)*12</f>
        <v>0</v>
      </c>
      <c r="AJ56" s="336"/>
      <c r="AK56" s="493">
        <f t="shared" si="19"/>
        <v>0</v>
      </c>
      <c r="AL56" s="493">
        <f>IF(F56="",0,(IF('wgl tot'!AH56/'wgl tot'!H56&lt;tabellen!$E$53,0,('wgl tot'!AH56-tabellen!$E$53*'wgl tot'!H56)/12)*tabellen!$C$53))</f>
        <v>0</v>
      </c>
      <c r="AM56" s="493">
        <f>IF(F56="",0,(IF('wgl tot'!AH56/'wgl tot'!H56&lt;tabellen!$E$54,0,(+'wgl tot'!AH56-tabellen!$E$54*'wgl tot'!H56)/12)*tabellen!$C$54))</f>
        <v>0</v>
      </c>
      <c r="AN56" s="493">
        <f>'wgl tot'!AH56/12*tabellen!$C$55</f>
        <v>0</v>
      </c>
      <c r="AO56" s="493">
        <f>IF(H56=0,0,IF(BU56&gt;tabellen!$G$56/12,tabellen!$G$56/12,BU56)*(tabellen!$C$56+tabellen!$C$57))</f>
        <v>0</v>
      </c>
      <c r="AP56" s="493">
        <f>IF(F56="",0,('wgl tot'!BV56))</f>
        <v>0</v>
      </c>
      <c r="AQ56" s="495">
        <f>IF(F56="",0,(IF('wgl tot'!BU56&gt;tabellen!$G$59*'wgl tot'!H56/12,tabellen!$G$59*'wgl tot'!H56/12,'wgl tot'!BU56)*tabellen!$C$59))</f>
        <v>0</v>
      </c>
      <c r="AR56" s="495">
        <f>IF(F56="",0,('wgl tot'!BU56*IF(N56=1,tabellen!$C$60,IF(N56=2,tabellen!C110,IF(N56=3,tabellen!$C$62,tabellen!$C$63)))))</f>
        <v>0</v>
      </c>
      <c r="AS56" s="495">
        <f>IF(F56="",0,('wgl tot'!BU56*tabellen!$C$64))</f>
        <v>0</v>
      </c>
      <c r="AT56" s="495">
        <f>+'wgl tot'!AI56/12</f>
        <v>0</v>
      </c>
      <c r="AU56" s="530">
        <v>0</v>
      </c>
      <c r="AV56" s="291">
        <f t="shared" si="20"/>
        <v>0</v>
      </c>
      <c r="AW56" s="515">
        <f t="shared" si="21"/>
        <v>0</v>
      </c>
      <c r="AX56" s="515">
        <f t="shared" si="13"/>
        <v>0</v>
      </c>
      <c r="AY56" s="336"/>
      <c r="AZ56" s="501" t="str">
        <f>IF(AW56=0,"",(+'wgl tot'!AW56/'wgl tot'!Q56-1))</f>
        <v/>
      </c>
      <c r="BA56" s="336"/>
      <c r="BB56" s="319"/>
      <c r="BE56" s="482">
        <f ca="1">YEAR('wgl tot'!$BE$10)-YEAR('wgl tot'!E56)</f>
        <v>118</v>
      </c>
      <c r="BF56" s="482">
        <f ca="1">MONTH('wgl tot'!$BE$10)-MONTH('wgl tot'!E56)</f>
        <v>0</v>
      </c>
      <c r="BG56" s="482">
        <f ca="1">DAY('wgl tot'!$BE$10)-DAY('wgl tot'!E56)</f>
        <v>3</v>
      </c>
      <c r="BH56" s="474">
        <f>IF(AND('wgl tot'!F56&gt;0,'wgl tot'!F56&lt;16),0,100)</f>
        <v>100</v>
      </c>
      <c r="BI56" s="474" t="e">
        <f>VLOOKUP('wgl tot'!F56,salaristabellen,22,FALSE)</f>
        <v>#N/A</v>
      </c>
      <c r="BJ56" s="474">
        <f t="shared" si="22"/>
        <v>0</v>
      </c>
      <c r="BK56" s="480">
        <v>42583</v>
      </c>
      <c r="BL56" s="483">
        <f t="shared" si="16"/>
        <v>0.08</v>
      </c>
      <c r="BM56" s="484">
        <f>+tabellen!$D$93</f>
        <v>6.3E-2</v>
      </c>
      <c r="BN56" s="482">
        <f>IF('wgl tot'!BH56=100,0,'wgl tot'!F56)</f>
        <v>0</v>
      </c>
      <c r="BO56" s="484" t="str">
        <f>IF(OR('wgl tot'!F56="DA",'wgl tot'!F56="DB",'wgl tot'!F56="DBuit",'wgl tot'!F56="DC",'wgl tot'!F56="DCuit",MID('wgl tot'!F56,1,5)="meerh"),"j","n")</f>
        <v>n</v>
      </c>
      <c r="BP56" s="485"/>
      <c r="BQ56" s="486" t="e">
        <f>IF('wgl tot'!AH56/'wgl tot'!H56&lt;tabellen!$E$53,0,(+'wgl tot'!AH56-tabellen!$E$53*'wgl tot'!H56)/12*tabellen!$D$53)</f>
        <v>#DIV/0!</v>
      </c>
      <c r="BR56" s="486" t="e">
        <f>IF('wgl tot'!AH56/'wgl tot'!H56&lt;tabellen!$E$54,0,(+'wgl tot'!AH56-tabellen!$E$54*'wgl tot'!H56)/12*tabellen!$D$54)</f>
        <v>#DIV/0!</v>
      </c>
      <c r="BS56" s="486">
        <f>'wgl tot'!AH56/12*tabellen!$D$55</f>
        <v>0</v>
      </c>
      <c r="BT56" s="487" t="e">
        <f t="shared" si="17"/>
        <v>#DIV/0!</v>
      </c>
      <c r="BU56" s="488" t="e">
        <f>+('wgl tot'!AF56+'wgl tot'!AI56)/12-'wgl tot'!BT56</f>
        <v>#DIV/0!</v>
      </c>
      <c r="BV56" s="488" t="e">
        <f>ROUND(IF('wgl tot'!BU56&gt;tabellen!$H$58,tabellen!$H$58,'wgl tot'!BU56)*tabellen!$C$58,2)</f>
        <v>#DIV/0!</v>
      </c>
      <c r="BW56" s="488" t="e">
        <f>+'wgl tot'!BU56+'wgl tot'!BV56</f>
        <v>#DIV/0!</v>
      </c>
      <c r="BX56" s="489">
        <f t="shared" si="23"/>
        <v>1900</v>
      </c>
      <c r="BY56" s="489">
        <f t="shared" si="24"/>
        <v>1</v>
      </c>
      <c r="BZ56" s="482">
        <f t="shared" si="25"/>
        <v>0</v>
      </c>
      <c r="CA56" s="480">
        <f t="shared" si="14"/>
        <v>22462</v>
      </c>
      <c r="CB56" s="480">
        <f t="shared" ca="1" si="15"/>
        <v>43103.670106134261</v>
      </c>
      <c r="CC56" s="474"/>
      <c r="CD56" s="480"/>
      <c r="CE56" s="474"/>
      <c r="CF56" s="485"/>
      <c r="CG56" s="485"/>
      <c r="CH56" s="485"/>
      <c r="CI56" s="485"/>
      <c r="CJ56" s="485"/>
      <c r="CK56" s="485"/>
    </row>
    <row r="57" spans="2:89" ht="13.5" customHeight="1" x14ac:dyDescent="0.2">
      <c r="B57" s="318"/>
      <c r="C57" s="336"/>
      <c r="D57" s="286"/>
      <c r="E57" s="287"/>
      <c r="F57" s="374"/>
      <c r="G57" s="288"/>
      <c r="H57" s="289"/>
      <c r="I57" s="288"/>
      <c r="J57" s="288"/>
      <c r="K57" s="288"/>
      <c r="L57" s="288"/>
      <c r="M57" s="288"/>
      <c r="N57" s="290"/>
      <c r="O57" s="336"/>
      <c r="P57" s="499">
        <f>IF(F57="",0,(VLOOKUP('wgl tot'!F57,salaristabellen,'wgl tot'!G57+1,FALSE)))</f>
        <v>0</v>
      </c>
      <c r="Q57" s="518">
        <f t="shared" si="18"/>
        <v>0</v>
      </c>
      <c r="R57" s="336"/>
      <c r="S57" s="493">
        <f>ROUND(IF(I57="j",VLOOKUP(BJ57,uitlooptoeslag,2,FALSE))*IF('wgl tot'!H57&gt;1,1,'wgl tot'!H57),2)</f>
        <v>0</v>
      </c>
      <c r="T57" s="493">
        <f>ROUND(IF(OR('wgl tot'!F57="LA",'wgl tot'!F57="LB"),IF(J57="j",tabellen!$C$79*'wgl tot'!H57,0),0),2)</f>
        <v>0</v>
      </c>
      <c r="U57" s="493">
        <f>ROUND(IF(('wgl tot'!Q57+'wgl tot'!S57+'wgl tot'!T57)*BL57&lt;'wgl tot'!H57*tabellen!$D$92,'wgl tot'!H57*tabellen!$D$92,('wgl tot'!Q57+'wgl tot'!S57+'wgl tot'!T57)*BL57),2)</f>
        <v>0</v>
      </c>
      <c r="V57" s="493">
        <f>ROUND(+('wgl tot'!Q57+'wgl tot'!S57+'wgl tot'!T57)*BM57,2)</f>
        <v>0</v>
      </c>
      <c r="W57" s="493">
        <f>+tabellen!$C$87*'wgl tot'!H57</f>
        <v>0</v>
      </c>
      <c r="X57" s="493">
        <f>VLOOKUP(BN57,eindejaarsuitkering_OOP,2,TRUE)*'wgl tot'!H57/12</f>
        <v>0</v>
      </c>
      <c r="Y57" s="493">
        <f>ROUND(IF(BO57="j",tabellen!$D$101*IF('wgl tot'!H57&gt;1,1,'wgl tot'!H57),0),2)</f>
        <v>0</v>
      </c>
      <c r="Z57" s="511">
        <f t="shared" si="9"/>
        <v>0</v>
      </c>
      <c r="AA57" s="338"/>
      <c r="AB57" s="339"/>
      <c r="AC57" s="492">
        <f t="shared" si="10"/>
        <v>0</v>
      </c>
      <c r="AD57" s="493">
        <f>ROUND(IF(L57="j",VLOOKUP(K57,bindingstoelage,2,FALSE))*IF('wgl tot'!H57&gt;1,1,'wgl tot'!H57),2)</f>
        <v>0</v>
      </c>
      <c r="AE57" s="493">
        <f>ROUND('wgl tot'!H57*tabellen!$D$99,2)</f>
        <v>0</v>
      </c>
      <c r="AF57" s="492">
        <f t="shared" si="11"/>
        <v>0</v>
      </c>
      <c r="AG57" s="336"/>
      <c r="AH57" s="492">
        <f t="shared" si="12"/>
        <v>0</v>
      </c>
      <c r="AI57" s="494">
        <f>IF('wgl tot'!E57&lt;1950,0,+('wgl tot'!Q57+'wgl tot'!S57+'wgl tot'!T57)*tabellen!$C$89)*12</f>
        <v>0</v>
      </c>
      <c r="AJ57" s="336"/>
      <c r="AK57" s="493">
        <f t="shared" si="19"/>
        <v>0</v>
      </c>
      <c r="AL57" s="493">
        <f>IF(F57="",0,(IF('wgl tot'!AH57/'wgl tot'!H57&lt;tabellen!$E$53,0,('wgl tot'!AH57-tabellen!$E$53*'wgl tot'!H57)/12)*tabellen!$C$53))</f>
        <v>0</v>
      </c>
      <c r="AM57" s="493">
        <f>IF(F57="",0,(IF('wgl tot'!AH57/'wgl tot'!H57&lt;tabellen!$E$54,0,(+'wgl tot'!AH57-tabellen!$E$54*'wgl tot'!H57)/12)*tabellen!$C$54))</f>
        <v>0</v>
      </c>
      <c r="AN57" s="493">
        <f>'wgl tot'!AH57/12*tabellen!$C$55</f>
        <v>0</v>
      </c>
      <c r="AO57" s="493">
        <f>IF(H57=0,0,IF(BU57&gt;tabellen!$G$56/12,tabellen!$G$56/12,BU57)*(tabellen!$C$56+tabellen!$C$57))</f>
        <v>0</v>
      </c>
      <c r="AP57" s="493">
        <f>IF(F57="",0,('wgl tot'!BV57))</f>
        <v>0</v>
      </c>
      <c r="AQ57" s="495">
        <f>IF(F57="",0,(IF('wgl tot'!BU57&gt;tabellen!$G$59*'wgl tot'!H57/12,tabellen!$G$59*'wgl tot'!H57/12,'wgl tot'!BU57)*tabellen!$C$59))</f>
        <v>0</v>
      </c>
      <c r="AR57" s="495">
        <f>IF(F57="",0,('wgl tot'!BU57*IF(N57=1,tabellen!$C$60,IF(N57=2,tabellen!C111,IF(N57=3,tabellen!$C$62,tabellen!$C$63)))))</f>
        <v>0</v>
      </c>
      <c r="AS57" s="495">
        <f>IF(F57="",0,('wgl tot'!BU57*tabellen!$C$64))</f>
        <v>0</v>
      </c>
      <c r="AT57" s="495">
        <f>+'wgl tot'!AI57/12</f>
        <v>0</v>
      </c>
      <c r="AU57" s="530">
        <v>0</v>
      </c>
      <c r="AV57" s="291">
        <f t="shared" si="20"/>
        <v>0</v>
      </c>
      <c r="AW57" s="515">
        <f t="shared" si="21"/>
        <v>0</v>
      </c>
      <c r="AX57" s="515">
        <f t="shared" si="13"/>
        <v>0</v>
      </c>
      <c r="AY57" s="336"/>
      <c r="AZ57" s="501" t="str">
        <f>IF(AW57=0,"",(+'wgl tot'!AW57/'wgl tot'!Q57-1))</f>
        <v/>
      </c>
      <c r="BA57" s="336"/>
      <c r="BB57" s="319"/>
      <c r="BE57" s="482">
        <f ca="1">YEAR('wgl tot'!$BE$10)-YEAR('wgl tot'!E57)</f>
        <v>118</v>
      </c>
      <c r="BF57" s="482">
        <f ca="1">MONTH('wgl tot'!$BE$10)-MONTH('wgl tot'!E57)</f>
        <v>0</v>
      </c>
      <c r="BG57" s="482">
        <f ca="1">DAY('wgl tot'!$BE$10)-DAY('wgl tot'!E57)</f>
        <v>3</v>
      </c>
      <c r="BH57" s="474">
        <f>IF(AND('wgl tot'!F57&gt;0,'wgl tot'!F57&lt;16),0,100)</f>
        <v>100</v>
      </c>
      <c r="BI57" s="474" t="e">
        <f>VLOOKUP('wgl tot'!F57,salaristabellen,22,FALSE)</f>
        <v>#N/A</v>
      </c>
      <c r="BJ57" s="474">
        <f t="shared" si="22"/>
        <v>0</v>
      </c>
      <c r="BK57" s="480">
        <v>42583</v>
      </c>
      <c r="BL57" s="483">
        <f t="shared" si="16"/>
        <v>0.08</v>
      </c>
      <c r="BM57" s="484">
        <f>+tabellen!$D$93</f>
        <v>6.3E-2</v>
      </c>
      <c r="BN57" s="482">
        <f>IF('wgl tot'!BH57=100,0,'wgl tot'!F57)</f>
        <v>0</v>
      </c>
      <c r="BO57" s="484" t="str">
        <f>IF(OR('wgl tot'!F57="DA",'wgl tot'!F57="DB",'wgl tot'!F57="DBuit",'wgl tot'!F57="DC",'wgl tot'!F57="DCuit",MID('wgl tot'!F57,1,5)="meerh"),"j","n")</f>
        <v>n</v>
      </c>
      <c r="BP57" s="485"/>
      <c r="BQ57" s="486" t="e">
        <f>IF('wgl tot'!AH57/'wgl tot'!H57&lt;tabellen!$E$53,0,(+'wgl tot'!AH57-tabellen!$E$53*'wgl tot'!H57)/12*tabellen!$D$53)</f>
        <v>#DIV/0!</v>
      </c>
      <c r="BR57" s="486" t="e">
        <f>IF('wgl tot'!AH57/'wgl tot'!H57&lt;tabellen!$E$54,0,(+'wgl tot'!AH57-tabellen!$E$54*'wgl tot'!H57)/12*tabellen!$D$54)</f>
        <v>#DIV/0!</v>
      </c>
      <c r="BS57" s="486">
        <f>'wgl tot'!AH57/12*tabellen!$D$55</f>
        <v>0</v>
      </c>
      <c r="BT57" s="487" t="e">
        <f t="shared" si="17"/>
        <v>#DIV/0!</v>
      </c>
      <c r="BU57" s="488" t="e">
        <f>+('wgl tot'!AF57+'wgl tot'!AI57)/12-'wgl tot'!BT57</f>
        <v>#DIV/0!</v>
      </c>
      <c r="BV57" s="488" t="e">
        <f>ROUND(IF('wgl tot'!BU57&gt;tabellen!$H$58,tabellen!$H$58,'wgl tot'!BU57)*tabellen!$C$58,2)</f>
        <v>#DIV/0!</v>
      </c>
      <c r="BW57" s="488" t="e">
        <f>+'wgl tot'!BU57+'wgl tot'!BV57</f>
        <v>#DIV/0!</v>
      </c>
      <c r="BX57" s="489">
        <f t="shared" si="23"/>
        <v>1900</v>
      </c>
      <c r="BY57" s="489">
        <f t="shared" si="24"/>
        <v>1</v>
      </c>
      <c r="BZ57" s="482">
        <f t="shared" si="25"/>
        <v>0</v>
      </c>
      <c r="CA57" s="480">
        <f t="shared" si="14"/>
        <v>22462</v>
      </c>
      <c r="CB57" s="480">
        <f t="shared" ca="1" si="15"/>
        <v>43103.670106134261</v>
      </c>
      <c r="CC57" s="474"/>
      <c r="CD57" s="480"/>
      <c r="CE57" s="474"/>
      <c r="CF57" s="485"/>
      <c r="CG57" s="485"/>
      <c r="CH57" s="485"/>
      <c r="CI57" s="485"/>
      <c r="CJ57" s="485"/>
      <c r="CK57" s="485"/>
    </row>
    <row r="58" spans="2:89" ht="13.5" customHeight="1" x14ac:dyDescent="0.2">
      <c r="B58" s="318"/>
      <c r="C58" s="336"/>
      <c r="D58" s="286"/>
      <c r="E58" s="287"/>
      <c r="F58" s="374"/>
      <c r="G58" s="288"/>
      <c r="H58" s="289"/>
      <c r="I58" s="288"/>
      <c r="J58" s="288"/>
      <c r="K58" s="288"/>
      <c r="L58" s="288"/>
      <c r="M58" s="288"/>
      <c r="N58" s="290"/>
      <c r="O58" s="336"/>
      <c r="P58" s="499">
        <f>IF(F58="",0,(VLOOKUP('wgl tot'!F58,salaristabellen,'wgl tot'!G58+1,FALSE)))</f>
        <v>0</v>
      </c>
      <c r="Q58" s="518">
        <f t="shared" si="18"/>
        <v>0</v>
      </c>
      <c r="R58" s="336"/>
      <c r="S58" s="493">
        <f>ROUND(IF(I58="j",VLOOKUP(BJ58,uitlooptoeslag,2,FALSE))*IF('wgl tot'!H58&gt;1,1,'wgl tot'!H58),2)</f>
        <v>0</v>
      </c>
      <c r="T58" s="493">
        <f>ROUND(IF(OR('wgl tot'!F58="LA",'wgl tot'!F58="LB"),IF(J58="j",tabellen!$C$79*'wgl tot'!H58,0),0),2)</f>
        <v>0</v>
      </c>
      <c r="U58" s="493">
        <f>ROUND(IF(('wgl tot'!Q58+'wgl tot'!S58+'wgl tot'!T58)*BL58&lt;'wgl tot'!H58*tabellen!$D$92,'wgl tot'!H58*tabellen!$D$92,('wgl tot'!Q58+'wgl tot'!S58+'wgl tot'!T58)*BL58),2)</f>
        <v>0</v>
      </c>
      <c r="V58" s="493">
        <f>ROUND(+('wgl tot'!Q58+'wgl tot'!S58+'wgl tot'!T58)*BM58,2)</f>
        <v>0</v>
      </c>
      <c r="W58" s="493">
        <f>+tabellen!$C$87*'wgl tot'!H58</f>
        <v>0</v>
      </c>
      <c r="X58" s="493">
        <f>VLOOKUP(BN58,eindejaarsuitkering_OOP,2,TRUE)*'wgl tot'!H58/12</f>
        <v>0</v>
      </c>
      <c r="Y58" s="493">
        <f>ROUND(IF(BO58="j",tabellen!$D$101*IF('wgl tot'!H58&gt;1,1,'wgl tot'!H58),0),2)</f>
        <v>0</v>
      </c>
      <c r="Z58" s="511">
        <f t="shared" si="9"/>
        <v>0</v>
      </c>
      <c r="AA58" s="338"/>
      <c r="AB58" s="339"/>
      <c r="AC58" s="492">
        <f t="shared" si="10"/>
        <v>0</v>
      </c>
      <c r="AD58" s="493">
        <f>ROUND(IF(L58="j",VLOOKUP(K58,bindingstoelage,2,FALSE))*IF('wgl tot'!H58&gt;1,1,'wgl tot'!H58),2)</f>
        <v>0</v>
      </c>
      <c r="AE58" s="493">
        <f>ROUND('wgl tot'!H58*tabellen!$D$99,2)</f>
        <v>0</v>
      </c>
      <c r="AF58" s="492">
        <f t="shared" si="11"/>
        <v>0</v>
      </c>
      <c r="AG58" s="336"/>
      <c r="AH58" s="492">
        <f t="shared" si="12"/>
        <v>0</v>
      </c>
      <c r="AI58" s="494">
        <f>IF('wgl tot'!E58&lt;1950,0,+('wgl tot'!Q58+'wgl tot'!S58+'wgl tot'!T58)*tabellen!$C$89)*12</f>
        <v>0</v>
      </c>
      <c r="AJ58" s="336"/>
      <c r="AK58" s="493">
        <f t="shared" si="19"/>
        <v>0</v>
      </c>
      <c r="AL58" s="493">
        <f>IF(F58="",0,(IF('wgl tot'!AH58/'wgl tot'!H58&lt;tabellen!$E$53,0,('wgl tot'!AH58-tabellen!$E$53*'wgl tot'!H58)/12)*tabellen!$C$53))</f>
        <v>0</v>
      </c>
      <c r="AM58" s="493">
        <f>IF(F58="",0,(IF('wgl tot'!AH58/'wgl tot'!H58&lt;tabellen!$E$54,0,(+'wgl tot'!AH58-tabellen!$E$54*'wgl tot'!H58)/12)*tabellen!$C$54))</f>
        <v>0</v>
      </c>
      <c r="AN58" s="493">
        <f>'wgl tot'!AH58/12*tabellen!$C$55</f>
        <v>0</v>
      </c>
      <c r="AO58" s="493">
        <f>IF(H58=0,0,IF(BU58&gt;tabellen!$G$56/12,tabellen!$G$56/12,BU58)*(tabellen!$C$56+tabellen!$C$57))</f>
        <v>0</v>
      </c>
      <c r="AP58" s="493">
        <f>IF(F58="",0,('wgl tot'!BV58))</f>
        <v>0</v>
      </c>
      <c r="AQ58" s="495">
        <f>IF(F58="",0,(IF('wgl tot'!BU58&gt;tabellen!$G$59*'wgl tot'!H58/12,tabellen!$G$59*'wgl tot'!H58/12,'wgl tot'!BU58)*tabellen!$C$59))</f>
        <v>0</v>
      </c>
      <c r="AR58" s="495">
        <f>IF(F58="",0,('wgl tot'!BU58*IF(N58=1,tabellen!$C$60,IF(N58=2,tabellen!C112,IF(N58=3,tabellen!$C$62,tabellen!$C$63)))))</f>
        <v>0</v>
      </c>
      <c r="AS58" s="495">
        <f>IF(F58="",0,('wgl tot'!BU58*tabellen!$C$64))</f>
        <v>0</v>
      </c>
      <c r="AT58" s="495">
        <f>+'wgl tot'!AI58/12</f>
        <v>0</v>
      </c>
      <c r="AU58" s="530">
        <v>0</v>
      </c>
      <c r="AV58" s="291">
        <f t="shared" si="20"/>
        <v>0</v>
      </c>
      <c r="AW58" s="515">
        <f t="shared" si="21"/>
        <v>0</v>
      </c>
      <c r="AX58" s="515">
        <f t="shared" si="13"/>
        <v>0</v>
      </c>
      <c r="AY58" s="336"/>
      <c r="AZ58" s="501" t="str">
        <f>IF(AW58=0,"",(+'wgl tot'!AW58/'wgl tot'!Q58-1))</f>
        <v/>
      </c>
      <c r="BA58" s="336"/>
      <c r="BB58" s="319"/>
      <c r="BE58" s="482">
        <f ca="1">YEAR('wgl tot'!$BE$10)-YEAR('wgl tot'!E58)</f>
        <v>118</v>
      </c>
      <c r="BF58" s="482">
        <f ca="1">MONTH('wgl tot'!$BE$10)-MONTH('wgl tot'!E58)</f>
        <v>0</v>
      </c>
      <c r="BG58" s="482">
        <f ca="1">DAY('wgl tot'!$BE$10)-DAY('wgl tot'!E58)</f>
        <v>3</v>
      </c>
      <c r="BH58" s="474">
        <f>IF(AND('wgl tot'!F58&gt;0,'wgl tot'!F58&lt;16),0,100)</f>
        <v>100</v>
      </c>
      <c r="BI58" s="474" t="e">
        <f>VLOOKUP('wgl tot'!F58,salaristabellen,22,FALSE)</f>
        <v>#N/A</v>
      </c>
      <c r="BJ58" s="474">
        <f t="shared" si="22"/>
        <v>0</v>
      </c>
      <c r="BK58" s="480">
        <v>42583</v>
      </c>
      <c r="BL58" s="483">
        <f t="shared" si="16"/>
        <v>0.08</v>
      </c>
      <c r="BM58" s="484">
        <f>+tabellen!$D$93</f>
        <v>6.3E-2</v>
      </c>
      <c r="BN58" s="482">
        <f>IF('wgl tot'!BH58=100,0,'wgl tot'!F58)</f>
        <v>0</v>
      </c>
      <c r="BO58" s="484" t="str">
        <f>IF(OR('wgl tot'!F58="DA",'wgl tot'!F58="DB",'wgl tot'!F58="DBuit",'wgl tot'!F58="DC",'wgl tot'!F58="DCuit",MID('wgl tot'!F58,1,5)="meerh"),"j","n")</f>
        <v>n</v>
      </c>
      <c r="BP58" s="485"/>
      <c r="BQ58" s="486" t="e">
        <f>IF('wgl tot'!AH58/'wgl tot'!H58&lt;tabellen!$E$53,0,(+'wgl tot'!AH58-tabellen!$E$53*'wgl tot'!H58)/12*tabellen!$D$53)</f>
        <v>#DIV/0!</v>
      </c>
      <c r="BR58" s="486" t="e">
        <f>IF('wgl tot'!AH58/'wgl tot'!H58&lt;tabellen!$E$54,0,(+'wgl tot'!AH58-tabellen!$E$54*'wgl tot'!H58)/12*tabellen!$D$54)</f>
        <v>#DIV/0!</v>
      </c>
      <c r="BS58" s="486">
        <f>'wgl tot'!AH58/12*tabellen!$D$55</f>
        <v>0</v>
      </c>
      <c r="BT58" s="487" t="e">
        <f t="shared" si="17"/>
        <v>#DIV/0!</v>
      </c>
      <c r="BU58" s="488" t="e">
        <f>+('wgl tot'!AF58+'wgl tot'!AI58)/12-'wgl tot'!BT58</f>
        <v>#DIV/0!</v>
      </c>
      <c r="BV58" s="488" t="e">
        <f>ROUND(IF('wgl tot'!BU58&gt;tabellen!$H$58,tabellen!$H$58,'wgl tot'!BU58)*tabellen!$C$58,2)</f>
        <v>#DIV/0!</v>
      </c>
      <c r="BW58" s="488" t="e">
        <f>+'wgl tot'!BU58+'wgl tot'!BV58</f>
        <v>#DIV/0!</v>
      </c>
      <c r="BX58" s="489">
        <f t="shared" si="23"/>
        <v>1900</v>
      </c>
      <c r="BY58" s="489">
        <f t="shared" si="24"/>
        <v>1</v>
      </c>
      <c r="BZ58" s="482">
        <f t="shared" si="25"/>
        <v>0</v>
      </c>
      <c r="CA58" s="480">
        <f t="shared" si="14"/>
        <v>22462</v>
      </c>
      <c r="CB58" s="480">
        <f t="shared" ca="1" si="15"/>
        <v>43103.670106134261</v>
      </c>
      <c r="CC58" s="474"/>
      <c r="CD58" s="480"/>
      <c r="CE58" s="474"/>
      <c r="CF58" s="485"/>
      <c r="CG58" s="485"/>
      <c r="CH58" s="485"/>
      <c r="CI58" s="485"/>
      <c r="CJ58" s="485"/>
      <c r="CK58" s="485"/>
    </row>
    <row r="59" spans="2:89" ht="13.5" customHeight="1" x14ac:dyDescent="0.2">
      <c r="B59" s="318"/>
      <c r="C59" s="336"/>
      <c r="D59" s="286"/>
      <c r="E59" s="287"/>
      <c r="F59" s="374"/>
      <c r="G59" s="288"/>
      <c r="H59" s="289"/>
      <c r="I59" s="288"/>
      <c r="J59" s="288"/>
      <c r="K59" s="288"/>
      <c r="L59" s="288"/>
      <c r="M59" s="288"/>
      <c r="N59" s="290"/>
      <c r="O59" s="336"/>
      <c r="P59" s="499">
        <f>IF(F59="",0,(VLOOKUP('wgl tot'!F59,salaristabellen,'wgl tot'!G59+1,FALSE)))</f>
        <v>0</v>
      </c>
      <c r="Q59" s="518">
        <f t="shared" si="18"/>
        <v>0</v>
      </c>
      <c r="R59" s="336"/>
      <c r="S59" s="493">
        <f>ROUND(IF(I59="j",VLOOKUP(BJ59,uitlooptoeslag,2,FALSE))*IF('wgl tot'!H59&gt;1,1,'wgl tot'!H59),2)</f>
        <v>0</v>
      </c>
      <c r="T59" s="493">
        <f>ROUND(IF(OR('wgl tot'!F59="LA",'wgl tot'!F59="LB"),IF(J59="j",tabellen!$C$79*'wgl tot'!H59,0),0),2)</f>
        <v>0</v>
      </c>
      <c r="U59" s="493">
        <f>ROUND(IF(('wgl tot'!Q59+'wgl tot'!S59+'wgl tot'!T59)*BL59&lt;'wgl tot'!H59*tabellen!$D$92,'wgl tot'!H59*tabellen!$D$92,('wgl tot'!Q59+'wgl tot'!S59+'wgl tot'!T59)*BL59),2)</f>
        <v>0</v>
      </c>
      <c r="V59" s="493">
        <f>ROUND(+('wgl tot'!Q59+'wgl tot'!S59+'wgl tot'!T59)*BM59,2)</f>
        <v>0</v>
      </c>
      <c r="W59" s="493">
        <f>+tabellen!$C$87*'wgl tot'!H59</f>
        <v>0</v>
      </c>
      <c r="X59" s="493">
        <f>VLOOKUP(BN59,eindejaarsuitkering_OOP,2,TRUE)*'wgl tot'!H59/12</f>
        <v>0</v>
      </c>
      <c r="Y59" s="493">
        <f>ROUND(IF(BO59="j",tabellen!$D$101*IF('wgl tot'!H59&gt;1,1,'wgl tot'!H59),0),2)</f>
        <v>0</v>
      </c>
      <c r="Z59" s="511">
        <f t="shared" si="9"/>
        <v>0</v>
      </c>
      <c r="AA59" s="338"/>
      <c r="AB59" s="339"/>
      <c r="AC59" s="492">
        <f t="shared" si="10"/>
        <v>0</v>
      </c>
      <c r="AD59" s="493">
        <f>ROUND(IF(L59="j",VLOOKUP(K59,bindingstoelage,2,FALSE))*IF('wgl tot'!H59&gt;1,1,'wgl tot'!H59),2)</f>
        <v>0</v>
      </c>
      <c r="AE59" s="493">
        <f>ROUND('wgl tot'!H59*tabellen!$D$99,2)</f>
        <v>0</v>
      </c>
      <c r="AF59" s="492">
        <f t="shared" si="11"/>
        <v>0</v>
      </c>
      <c r="AG59" s="336"/>
      <c r="AH59" s="492">
        <f t="shared" si="12"/>
        <v>0</v>
      </c>
      <c r="AI59" s="494">
        <f>IF('wgl tot'!E59&lt;1950,0,+('wgl tot'!Q59+'wgl tot'!S59+'wgl tot'!T59)*tabellen!$C$89)*12</f>
        <v>0</v>
      </c>
      <c r="AJ59" s="336"/>
      <c r="AK59" s="493">
        <f t="shared" si="19"/>
        <v>0</v>
      </c>
      <c r="AL59" s="493">
        <f>IF(F59="",0,(IF('wgl tot'!AH59/'wgl tot'!H59&lt;tabellen!$E$53,0,('wgl tot'!AH59-tabellen!$E$53*'wgl tot'!H59)/12)*tabellen!$C$53))</f>
        <v>0</v>
      </c>
      <c r="AM59" s="493">
        <f>IF(F59="",0,(IF('wgl tot'!AH59/'wgl tot'!H59&lt;tabellen!$E$54,0,(+'wgl tot'!AH59-tabellen!$E$54*'wgl tot'!H59)/12)*tabellen!$C$54))</f>
        <v>0</v>
      </c>
      <c r="AN59" s="493">
        <f>'wgl tot'!AH59/12*tabellen!$C$55</f>
        <v>0</v>
      </c>
      <c r="AO59" s="493">
        <f>IF(H59=0,0,IF(BU59&gt;tabellen!$G$56/12,tabellen!$G$56/12,BU59)*(tabellen!$C$56+tabellen!$C$57))</f>
        <v>0</v>
      </c>
      <c r="AP59" s="493">
        <f>IF(F59="",0,('wgl tot'!BV59))</f>
        <v>0</v>
      </c>
      <c r="AQ59" s="495">
        <f>IF(F59="",0,(IF('wgl tot'!BU59&gt;tabellen!$G$59*'wgl tot'!H59/12,tabellen!$G$59*'wgl tot'!H59/12,'wgl tot'!BU59)*tabellen!$C$59))</f>
        <v>0</v>
      </c>
      <c r="AR59" s="495">
        <f>IF(F59="",0,('wgl tot'!BU59*IF(N59=1,tabellen!$C$60,IF(N59=2,tabellen!C113,IF(N59=3,tabellen!$C$62,tabellen!$C$63)))))</f>
        <v>0</v>
      </c>
      <c r="AS59" s="495">
        <f>IF(F59="",0,('wgl tot'!BU59*tabellen!$C$64))</f>
        <v>0</v>
      </c>
      <c r="AT59" s="495">
        <f>+'wgl tot'!AI59/12</f>
        <v>0</v>
      </c>
      <c r="AU59" s="530">
        <v>0</v>
      </c>
      <c r="AV59" s="291">
        <f t="shared" si="20"/>
        <v>0</v>
      </c>
      <c r="AW59" s="515">
        <f t="shared" si="21"/>
        <v>0</v>
      </c>
      <c r="AX59" s="515">
        <f t="shared" si="13"/>
        <v>0</v>
      </c>
      <c r="AY59" s="336"/>
      <c r="AZ59" s="501" t="str">
        <f>IF(AW59=0,"",(+'wgl tot'!AW59/'wgl tot'!Q59-1))</f>
        <v/>
      </c>
      <c r="BA59" s="336"/>
      <c r="BB59" s="319"/>
      <c r="BE59" s="482">
        <f ca="1">YEAR('wgl tot'!$BE$10)-YEAR('wgl tot'!E59)</f>
        <v>118</v>
      </c>
      <c r="BF59" s="482">
        <f ca="1">MONTH('wgl tot'!$BE$10)-MONTH('wgl tot'!E59)</f>
        <v>0</v>
      </c>
      <c r="BG59" s="482">
        <f ca="1">DAY('wgl tot'!$BE$10)-DAY('wgl tot'!E59)</f>
        <v>3</v>
      </c>
      <c r="BH59" s="474">
        <f>IF(AND('wgl tot'!F59&gt;0,'wgl tot'!F59&lt;16),0,100)</f>
        <v>100</v>
      </c>
      <c r="BI59" s="474" t="e">
        <f>VLOOKUP('wgl tot'!F59,salaristabellen,22,FALSE)</f>
        <v>#N/A</v>
      </c>
      <c r="BJ59" s="474">
        <f t="shared" si="22"/>
        <v>0</v>
      </c>
      <c r="BK59" s="480">
        <v>42583</v>
      </c>
      <c r="BL59" s="483">
        <f t="shared" si="16"/>
        <v>0.08</v>
      </c>
      <c r="BM59" s="484">
        <f>+tabellen!$D$93</f>
        <v>6.3E-2</v>
      </c>
      <c r="BN59" s="482">
        <f>IF('wgl tot'!BH59=100,0,'wgl tot'!F59)</f>
        <v>0</v>
      </c>
      <c r="BO59" s="484" t="str">
        <f>IF(OR('wgl tot'!F59="DA",'wgl tot'!F59="DB",'wgl tot'!F59="DBuit",'wgl tot'!F59="DC",'wgl tot'!F59="DCuit",MID('wgl tot'!F59,1,5)="meerh"),"j","n")</f>
        <v>n</v>
      </c>
      <c r="BP59" s="485"/>
      <c r="BQ59" s="486" t="e">
        <f>IF('wgl tot'!AH59/'wgl tot'!H59&lt;tabellen!$E$53,0,(+'wgl tot'!AH59-tabellen!$E$53*'wgl tot'!H59)/12*tabellen!$D$53)</f>
        <v>#DIV/0!</v>
      </c>
      <c r="BR59" s="486" t="e">
        <f>IF('wgl tot'!AH59/'wgl tot'!H59&lt;tabellen!$E$54,0,(+'wgl tot'!AH59-tabellen!$E$54*'wgl tot'!H59)/12*tabellen!$D$54)</f>
        <v>#DIV/0!</v>
      </c>
      <c r="BS59" s="486">
        <f>'wgl tot'!AH59/12*tabellen!$D$55</f>
        <v>0</v>
      </c>
      <c r="BT59" s="487" t="e">
        <f>SUM(BQ59:BS59)</f>
        <v>#DIV/0!</v>
      </c>
      <c r="BU59" s="488" t="e">
        <f>+('wgl tot'!AF59+'wgl tot'!AI59)/12-'wgl tot'!BT59</f>
        <v>#DIV/0!</v>
      </c>
      <c r="BV59" s="488" t="e">
        <f>ROUND(IF('wgl tot'!BU59&gt;tabellen!$H$58,tabellen!$H$58,'wgl tot'!BU59)*tabellen!$C$58,2)</f>
        <v>#DIV/0!</v>
      </c>
      <c r="BW59" s="488" t="e">
        <f>+'wgl tot'!BU59+'wgl tot'!BV59</f>
        <v>#DIV/0!</v>
      </c>
      <c r="BX59" s="489">
        <f t="shared" si="23"/>
        <v>1900</v>
      </c>
      <c r="BY59" s="489">
        <f t="shared" si="24"/>
        <v>1</v>
      </c>
      <c r="BZ59" s="482">
        <f t="shared" si="25"/>
        <v>0</v>
      </c>
      <c r="CA59" s="480">
        <f t="shared" si="14"/>
        <v>22462</v>
      </c>
      <c r="CB59" s="480">
        <f t="shared" ca="1" si="15"/>
        <v>43103.670106134261</v>
      </c>
      <c r="CC59" s="474"/>
      <c r="CD59" s="480"/>
      <c r="CE59" s="474"/>
      <c r="CF59" s="485"/>
      <c r="CG59" s="485"/>
      <c r="CH59" s="485"/>
      <c r="CI59" s="485"/>
      <c r="CJ59" s="485"/>
      <c r="CK59" s="485"/>
    </row>
    <row r="60" spans="2:89" ht="13.5" customHeight="1" x14ac:dyDescent="0.2">
      <c r="B60" s="318"/>
      <c r="C60" s="336"/>
      <c r="D60" s="286"/>
      <c r="E60" s="287"/>
      <c r="F60" s="374"/>
      <c r="G60" s="288"/>
      <c r="H60" s="289"/>
      <c r="I60" s="288"/>
      <c r="J60" s="288"/>
      <c r="K60" s="288"/>
      <c r="L60" s="288"/>
      <c r="M60" s="288"/>
      <c r="N60" s="290"/>
      <c r="O60" s="336"/>
      <c r="P60" s="499">
        <f>IF(F60="",0,(VLOOKUP('wgl tot'!F60,salaristabellen,'wgl tot'!G60+1,FALSE)))</f>
        <v>0</v>
      </c>
      <c r="Q60" s="518">
        <f t="shared" si="18"/>
        <v>0</v>
      </c>
      <c r="R60" s="336"/>
      <c r="S60" s="493">
        <f>ROUND(IF(I60="j",VLOOKUP(BJ60,uitlooptoeslag,2,FALSE))*IF('wgl tot'!H60&gt;1,1,'wgl tot'!H60),2)</f>
        <v>0</v>
      </c>
      <c r="T60" s="493">
        <f>ROUND(IF(OR('wgl tot'!F60="LA",'wgl tot'!F60="LB"),IF(J60="j",tabellen!$C$79*'wgl tot'!H60,0),0),2)</f>
        <v>0</v>
      </c>
      <c r="U60" s="493">
        <f>ROUND(IF(('wgl tot'!Q60+'wgl tot'!S60+'wgl tot'!T60)*BL60&lt;'wgl tot'!H60*tabellen!$D$92,'wgl tot'!H60*tabellen!$D$92,('wgl tot'!Q60+'wgl tot'!S60+'wgl tot'!T60)*BL60),2)</f>
        <v>0</v>
      </c>
      <c r="V60" s="493">
        <f>ROUND(+('wgl tot'!Q60+'wgl tot'!S60+'wgl tot'!T60)*BM60,2)</f>
        <v>0</v>
      </c>
      <c r="W60" s="493">
        <f>+tabellen!$C$87*'wgl tot'!H60</f>
        <v>0</v>
      </c>
      <c r="X60" s="493">
        <f>VLOOKUP(BN60,eindejaarsuitkering_OOP,2,TRUE)*'wgl tot'!H60/12</f>
        <v>0</v>
      </c>
      <c r="Y60" s="493">
        <f>ROUND(IF(BO60="j",tabellen!$D$101*IF('wgl tot'!H60&gt;1,1,'wgl tot'!H60),0),2)</f>
        <v>0</v>
      </c>
      <c r="Z60" s="511">
        <f t="shared" si="9"/>
        <v>0</v>
      </c>
      <c r="AA60" s="338"/>
      <c r="AB60" s="339"/>
      <c r="AC60" s="492">
        <f t="shared" si="10"/>
        <v>0</v>
      </c>
      <c r="AD60" s="493">
        <f>ROUND(IF(L60="j",VLOOKUP(K60,bindingstoelage,2,FALSE))*IF('wgl tot'!H60&gt;1,1,'wgl tot'!H60),2)</f>
        <v>0</v>
      </c>
      <c r="AE60" s="493">
        <f>ROUND('wgl tot'!H60*tabellen!$D$99,2)</f>
        <v>0</v>
      </c>
      <c r="AF60" s="492">
        <f t="shared" si="11"/>
        <v>0</v>
      </c>
      <c r="AG60" s="336"/>
      <c r="AH60" s="492">
        <f t="shared" si="12"/>
        <v>0</v>
      </c>
      <c r="AI60" s="494">
        <f>IF('wgl tot'!E60&lt;1950,0,+('wgl tot'!Q60+'wgl tot'!S60+'wgl tot'!T60)*tabellen!$C$89)*12</f>
        <v>0</v>
      </c>
      <c r="AJ60" s="336"/>
      <c r="AK60" s="493">
        <f t="shared" si="19"/>
        <v>0</v>
      </c>
      <c r="AL60" s="493">
        <f>IF(F60="",0,(IF('wgl tot'!AH60/'wgl tot'!H60&lt;tabellen!$E$53,0,('wgl tot'!AH60-tabellen!$E$53*'wgl tot'!H60)/12)*tabellen!$C$53))</f>
        <v>0</v>
      </c>
      <c r="AM60" s="493">
        <f>IF(F60="",0,(IF('wgl tot'!AH60/'wgl tot'!H60&lt;tabellen!$E$54,0,(+'wgl tot'!AH60-tabellen!$E$54*'wgl tot'!H60)/12)*tabellen!$C$54))</f>
        <v>0</v>
      </c>
      <c r="AN60" s="493">
        <f>'wgl tot'!AH60/12*tabellen!$C$55</f>
        <v>0</v>
      </c>
      <c r="AO60" s="493">
        <f>IF(H60=0,0,IF(BU60&gt;tabellen!$G$56/12,tabellen!$G$56/12,BU60)*(tabellen!$C$56+tabellen!$C$57))</f>
        <v>0</v>
      </c>
      <c r="AP60" s="493">
        <f>IF(F60="",0,('wgl tot'!BV60))</f>
        <v>0</v>
      </c>
      <c r="AQ60" s="495">
        <f>IF(F60="",0,(IF('wgl tot'!BU60&gt;tabellen!$G$59*'wgl tot'!H60/12,tabellen!$G$59*'wgl tot'!H60/12,'wgl tot'!BU60)*tabellen!$C$59))</f>
        <v>0</v>
      </c>
      <c r="AR60" s="495">
        <f>IF(F60="",0,('wgl tot'!BU60*IF(N60=1,tabellen!$C$60,IF(N60=2,tabellen!C114,IF(N60=3,tabellen!$C$62,tabellen!$C$63)))))</f>
        <v>0</v>
      </c>
      <c r="AS60" s="495">
        <f>IF(F60="",0,('wgl tot'!BU60*tabellen!$C$64))</f>
        <v>0</v>
      </c>
      <c r="AT60" s="495">
        <f>+'wgl tot'!AI60/12</f>
        <v>0</v>
      </c>
      <c r="AU60" s="530">
        <v>0</v>
      </c>
      <c r="AV60" s="291">
        <f t="shared" si="20"/>
        <v>0</v>
      </c>
      <c r="AW60" s="515">
        <f t="shared" si="21"/>
        <v>0</v>
      </c>
      <c r="AX60" s="515">
        <f t="shared" si="13"/>
        <v>0</v>
      </c>
      <c r="AY60" s="336"/>
      <c r="AZ60" s="501" t="str">
        <f>IF(AW60=0,"",(+'wgl tot'!AW60/'wgl tot'!Q60-1))</f>
        <v/>
      </c>
      <c r="BA60" s="336"/>
      <c r="BB60" s="319"/>
      <c r="BE60" s="482">
        <f ca="1">YEAR('wgl tot'!$BE$10)-YEAR('wgl tot'!E60)</f>
        <v>118</v>
      </c>
      <c r="BF60" s="482">
        <f ca="1">MONTH('wgl tot'!$BE$10)-MONTH('wgl tot'!E60)</f>
        <v>0</v>
      </c>
      <c r="BG60" s="482">
        <f ca="1">DAY('wgl tot'!$BE$10)-DAY('wgl tot'!E60)</f>
        <v>3</v>
      </c>
      <c r="BH60" s="474">
        <f>IF(AND('wgl tot'!F60&gt;0,'wgl tot'!F60&lt;16),0,100)</f>
        <v>100</v>
      </c>
      <c r="BI60" s="474" t="e">
        <f>VLOOKUP('wgl tot'!F60,salaristabellen,22,FALSE)</f>
        <v>#N/A</v>
      </c>
      <c r="BJ60" s="474">
        <f t="shared" si="22"/>
        <v>0</v>
      </c>
      <c r="BK60" s="480">
        <v>42583</v>
      </c>
      <c r="BL60" s="483">
        <f t="shared" si="16"/>
        <v>0.08</v>
      </c>
      <c r="BM60" s="484">
        <f>+tabellen!$D$93</f>
        <v>6.3E-2</v>
      </c>
      <c r="BN60" s="482">
        <f>IF('wgl tot'!BH60=100,0,'wgl tot'!F60)</f>
        <v>0</v>
      </c>
      <c r="BO60" s="484" t="str">
        <f>IF(OR('wgl tot'!F60="DA",'wgl tot'!F60="DB",'wgl tot'!F60="DBuit",'wgl tot'!F60="DC",'wgl tot'!F60="DCuit",MID('wgl tot'!F60,1,5)="meerh"),"j","n")</f>
        <v>n</v>
      </c>
      <c r="BP60" s="485"/>
      <c r="BQ60" s="486" t="e">
        <f>IF('wgl tot'!AH60/'wgl tot'!H60&lt;tabellen!$E$53,0,(+'wgl tot'!AH60-tabellen!$E$53*'wgl tot'!H60)/12*tabellen!$D$53)</f>
        <v>#DIV/0!</v>
      </c>
      <c r="BR60" s="486" t="e">
        <f>IF('wgl tot'!AH60/'wgl tot'!H60&lt;tabellen!$E$54,0,(+'wgl tot'!AH60-tabellen!$E$54*'wgl tot'!H60)/12*tabellen!$D$54)</f>
        <v>#DIV/0!</v>
      </c>
      <c r="BS60" s="486">
        <f>'wgl tot'!AH60/12*tabellen!$D$55</f>
        <v>0</v>
      </c>
      <c r="BT60" s="487" t="e">
        <f>SUM(BQ60:BS60)</f>
        <v>#DIV/0!</v>
      </c>
      <c r="BU60" s="488" t="e">
        <f>+('wgl tot'!AF60+'wgl tot'!AI60)/12-'wgl tot'!BT60</f>
        <v>#DIV/0!</v>
      </c>
      <c r="BV60" s="488" t="e">
        <f>ROUND(IF('wgl tot'!BU60&gt;tabellen!$H$58,tabellen!$H$58,'wgl tot'!BU60)*tabellen!$C$58,2)</f>
        <v>#DIV/0!</v>
      </c>
      <c r="BW60" s="488" t="e">
        <f>+'wgl tot'!BU60+'wgl tot'!BV60</f>
        <v>#DIV/0!</v>
      </c>
      <c r="BX60" s="489">
        <f t="shared" si="23"/>
        <v>1900</v>
      </c>
      <c r="BY60" s="489">
        <f t="shared" si="24"/>
        <v>1</v>
      </c>
      <c r="BZ60" s="482">
        <f t="shared" si="25"/>
        <v>0</v>
      </c>
      <c r="CA60" s="480">
        <f t="shared" si="14"/>
        <v>22462</v>
      </c>
      <c r="CB60" s="480">
        <f t="shared" ca="1" si="15"/>
        <v>43103.670106134261</v>
      </c>
      <c r="CC60" s="474"/>
      <c r="CD60" s="480"/>
      <c r="CE60" s="474"/>
      <c r="CF60" s="485"/>
      <c r="CG60" s="485"/>
      <c r="CH60" s="485"/>
      <c r="CI60" s="485"/>
      <c r="CJ60" s="485"/>
      <c r="CK60" s="485"/>
    </row>
    <row r="61" spans="2:89" ht="13.5" customHeight="1" x14ac:dyDescent="0.2">
      <c r="B61" s="318"/>
      <c r="C61" s="336"/>
      <c r="D61" s="286"/>
      <c r="E61" s="287"/>
      <c r="F61" s="374"/>
      <c r="G61" s="288"/>
      <c r="H61" s="289"/>
      <c r="I61" s="288"/>
      <c r="J61" s="288"/>
      <c r="K61" s="288"/>
      <c r="L61" s="288"/>
      <c r="M61" s="288"/>
      <c r="N61" s="290"/>
      <c r="O61" s="336"/>
      <c r="P61" s="499">
        <f>IF(F61="",0,(VLOOKUP('wgl tot'!F61,salaristabellen,'wgl tot'!G61+1,FALSE)))</f>
        <v>0</v>
      </c>
      <c r="Q61" s="518">
        <f t="shared" si="18"/>
        <v>0</v>
      </c>
      <c r="R61" s="336"/>
      <c r="S61" s="493">
        <f>ROUND(IF(I61="j",VLOOKUP(BJ61,uitlooptoeslag,2,FALSE))*IF('wgl tot'!H61&gt;1,1,'wgl tot'!H61),2)</f>
        <v>0</v>
      </c>
      <c r="T61" s="493">
        <f>ROUND(IF(OR('wgl tot'!F61="LA",'wgl tot'!F61="LB"),IF(J61="j",tabellen!$C$79*'wgl tot'!H61,0),0),2)</f>
        <v>0</v>
      </c>
      <c r="U61" s="493">
        <f>ROUND(IF(('wgl tot'!Q61+'wgl tot'!S61+'wgl tot'!T61)*BL61&lt;'wgl tot'!H61*tabellen!$D$92,'wgl tot'!H61*tabellen!$D$92,('wgl tot'!Q61+'wgl tot'!S61+'wgl tot'!T61)*BL61),2)</f>
        <v>0</v>
      </c>
      <c r="V61" s="493">
        <f>ROUND(+('wgl tot'!Q61+'wgl tot'!S61+'wgl tot'!T61)*BM61,2)</f>
        <v>0</v>
      </c>
      <c r="W61" s="493">
        <f>+tabellen!$C$87*'wgl tot'!H61</f>
        <v>0</v>
      </c>
      <c r="X61" s="493">
        <f>VLOOKUP(BN61,eindejaarsuitkering_OOP,2,TRUE)*'wgl tot'!H61/12</f>
        <v>0</v>
      </c>
      <c r="Y61" s="493">
        <f>ROUND(IF(BO61="j",tabellen!$D$101*IF('wgl tot'!H61&gt;1,1,'wgl tot'!H61),0),2)</f>
        <v>0</v>
      </c>
      <c r="Z61" s="511">
        <f t="shared" si="9"/>
        <v>0</v>
      </c>
      <c r="AA61" s="338"/>
      <c r="AB61" s="339"/>
      <c r="AC61" s="492">
        <f t="shared" si="10"/>
        <v>0</v>
      </c>
      <c r="AD61" s="493">
        <f>ROUND(IF(L61="j",VLOOKUP(K61,bindingstoelage,2,FALSE))*IF('wgl tot'!H61&gt;1,1,'wgl tot'!H61),2)</f>
        <v>0</v>
      </c>
      <c r="AE61" s="493">
        <f>ROUND('wgl tot'!H61*tabellen!$D$99,2)</f>
        <v>0</v>
      </c>
      <c r="AF61" s="492">
        <f t="shared" si="11"/>
        <v>0</v>
      </c>
      <c r="AG61" s="336"/>
      <c r="AH61" s="492">
        <f t="shared" si="12"/>
        <v>0</v>
      </c>
      <c r="AI61" s="494">
        <f>IF('wgl tot'!E61&lt;1950,0,+('wgl tot'!Q61+'wgl tot'!S61+'wgl tot'!T61)*tabellen!$C$89)*12</f>
        <v>0</v>
      </c>
      <c r="AJ61" s="336"/>
      <c r="AK61" s="493">
        <f t="shared" si="19"/>
        <v>0</v>
      </c>
      <c r="AL61" s="493">
        <f>IF(F61="",0,(IF('wgl tot'!AH61/'wgl tot'!H61&lt;tabellen!$E$53,0,('wgl tot'!AH61-tabellen!$E$53*'wgl tot'!H61)/12)*tabellen!$C$53))</f>
        <v>0</v>
      </c>
      <c r="AM61" s="493">
        <f>IF(F61="",0,(IF('wgl tot'!AH61/'wgl tot'!H61&lt;tabellen!$E$54,0,(+'wgl tot'!AH61-tabellen!$E$54*'wgl tot'!H61)/12)*tabellen!$C$54))</f>
        <v>0</v>
      </c>
      <c r="AN61" s="493">
        <f>'wgl tot'!AH61/12*tabellen!$C$55</f>
        <v>0</v>
      </c>
      <c r="AO61" s="493">
        <f>IF(H61=0,0,IF(BU61&gt;tabellen!$G$56/12,tabellen!$G$56/12,BU61)*(tabellen!$C$56+tabellen!$C$57))</f>
        <v>0</v>
      </c>
      <c r="AP61" s="493">
        <f>IF(F61="",0,('wgl tot'!BV61))</f>
        <v>0</v>
      </c>
      <c r="AQ61" s="495">
        <f>IF(F61="",0,(IF('wgl tot'!BU61&gt;tabellen!$G$59*'wgl tot'!H61/12,tabellen!$G$59*'wgl tot'!H61/12,'wgl tot'!BU61)*tabellen!$C$59))</f>
        <v>0</v>
      </c>
      <c r="AR61" s="495">
        <f>IF(F61="",0,('wgl tot'!BU61*IF(N61=1,tabellen!$C$60,IF(N61=2,tabellen!C115,IF(N61=3,tabellen!$C$62,tabellen!$C$63)))))</f>
        <v>0</v>
      </c>
      <c r="AS61" s="495">
        <f>IF(F61="",0,('wgl tot'!BU61*tabellen!$C$64))</f>
        <v>0</v>
      </c>
      <c r="AT61" s="495">
        <f>+'wgl tot'!AI61/12</f>
        <v>0</v>
      </c>
      <c r="AU61" s="530">
        <v>0</v>
      </c>
      <c r="AV61" s="291">
        <f t="shared" si="20"/>
        <v>0</v>
      </c>
      <c r="AW61" s="515">
        <f t="shared" si="21"/>
        <v>0</v>
      </c>
      <c r="AX61" s="515">
        <f t="shared" si="13"/>
        <v>0</v>
      </c>
      <c r="AY61" s="336"/>
      <c r="AZ61" s="501" t="str">
        <f>IF(AW61=0,"",(+'wgl tot'!AW61/'wgl tot'!Q61-1))</f>
        <v/>
      </c>
      <c r="BA61" s="336"/>
      <c r="BB61" s="319"/>
      <c r="BE61" s="482">
        <f ca="1">YEAR('wgl tot'!$BE$10)-YEAR('wgl tot'!E61)</f>
        <v>118</v>
      </c>
      <c r="BF61" s="482">
        <f ca="1">MONTH('wgl tot'!$BE$10)-MONTH('wgl tot'!E61)</f>
        <v>0</v>
      </c>
      <c r="BG61" s="482">
        <f ca="1">DAY('wgl tot'!$BE$10)-DAY('wgl tot'!E61)</f>
        <v>3</v>
      </c>
      <c r="BH61" s="474">
        <f>IF(AND('wgl tot'!F61&gt;0,'wgl tot'!F61&lt;16),0,100)</f>
        <v>100</v>
      </c>
      <c r="BI61" s="474" t="e">
        <f>VLOOKUP('wgl tot'!F61,salaristabellen,22,FALSE)</f>
        <v>#N/A</v>
      </c>
      <c r="BJ61" s="474">
        <f t="shared" si="22"/>
        <v>0</v>
      </c>
      <c r="BK61" s="480">
        <v>42583</v>
      </c>
      <c r="BL61" s="483">
        <f t="shared" si="16"/>
        <v>0.08</v>
      </c>
      <c r="BM61" s="484">
        <f>+tabellen!$D$93</f>
        <v>6.3E-2</v>
      </c>
      <c r="BN61" s="482">
        <f>IF('wgl tot'!BH61=100,0,'wgl tot'!F61)</f>
        <v>0</v>
      </c>
      <c r="BO61" s="484" t="str">
        <f>IF(OR('wgl tot'!F61="DA",'wgl tot'!F61="DB",'wgl tot'!F61="DBuit",'wgl tot'!F61="DC",'wgl tot'!F61="DCuit",MID('wgl tot'!F61,1,5)="meerh"),"j","n")</f>
        <v>n</v>
      </c>
      <c r="BP61" s="485"/>
      <c r="BQ61" s="486" t="e">
        <f>IF('wgl tot'!AH61/'wgl tot'!H61&lt;tabellen!$E$53,0,(+'wgl tot'!AH61-tabellen!$E$53*'wgl tot'!H61)/12*tabellen!$D$53)</f>
        <v>#DIV/0!</v>
      </c>
      <c r="BR61" s="486" t="e">
        <f>IF('wgl tot'!AH61/'wgl tot'!H61&lt;tabellen!$E$54,0,(+'wgl tot'!AH61-tabellen!$E$54*'wgl tot'!H61)/12*tabellen!$D$54)</f>
        <v>#DIV/0!</v>
      </c>
      <c r="BS61" s="486">
        <f>'wgl tot'!AH61/12*tabellen!$D$55</f>
        <v>0</v>
      </c>
      <c r="BT61" s="487" t="e">
        <f>SUM(BQ61:BS61)</f>
        <v>#DIV/0!</v>
      </c>
      <c r="BU61" s="488" t="e">
        <f>+('wgl tot'!AF61+'wgl tot'!AI61)/12-'wgl tot'!BT61</f>
        <v>#DIV/0!</v>
      </c>
      <c r="BV61" s="488" t="e">
        <f>ROUND(IF('wgl tot'!BU61&gt;tabellen!$H$58,tabellen!$H$58,'wgl tot'!BU61)*tabellen!$C$58,2)</f>
        <v>#DIV/0!</v>
      </c>
      <c r="BW61" s="488" t="e">
        <f>+'wgl tot'!BU61+'wgl tot'!BV61</f>
        <v>#DIV/0!</v>
      </c>
      <c r="BX61" s="489">
        <f t="shared" si="23"/>
        <v>1900</v>
      </c>
      <c r="BY61" s="489">
        <f t="shared" si="24"/>
        <v>1</v>
      </c>
      <c r="BZ61" s="482">
        <f t="shared" si="25"/>
        <v>0</v>
      </c>
      <c r="CA61" s="480">
        <f t="shared" si="14"/>
        <v>22462</v>
      </c>
      <c r="CB61" s="480">
        <f t="shared" ca="1" si="15"/>
        <v>43103.670106134261</v>
      </c>
      <c r="CC61" s="474"/>
      <c r="CD61" s="480"/>
      <c r="CE61" s="474"/>
      <c r="CF61" s="485"/>
      <c r="CG61" s="485"/>
      <c r="CH61" s="485"/>
      <c r="CI61" s="485"/>
      <c r="CJ61" s="485"/>
      <c r="CK61" s="485"/>
    </row>
    <row r="62" spans="2:89" ht="13.5" customHeight="1" x14ac:dyDescent="0.2">
      <c r="B62" s="318"/>
      <c r="C62" s="336"/>
      <c r="D62" s="286"/>
      <c r="E62" s="287"/>
      <c r="F62" s="374"/>
      <c r="G62" s="288"/>
      <c r="H62" s="289"/>
      <c r="I62" s="288"/>
      <c r="J62" s="288"/>
      <c r="K62" s="288"/>
      <c r="L62" s="288"/>
      <c r="M62" s="288"/>
      <c r="N62" s="290"/>
      <c r="O62" s="336"/>
      <c r="P62" s="499">
        <f>IF(F62="",0,(VLOOKUP('wgl tot'!F62,salaristabellen,'wgl tot'!G62+1,FALSE)))</f>
        <v>0</v>
      </c>
      <c r="Q62" s="518">
        <f t="shared" si="18"/>
        <v>0</v>
      </c>
      <c r="R62" s="336"/>
      <c r="S62" s="493">
        <f>ROUND(IF(I62="j",VLOOKUP(BJ62,uitlooptoeslag,2,FALSE))*IF('wgl tot'!H62&gt;1,1,'wgl tot'!H62),2)</f>
        <v>0</v>
      </c>
      <c r="T62" s="493">
        <f>ROUND(IF(OR('wgl tot'!F62="LA",'wgl tot'!F62="LB"),IF(J62="j",tabellen!$C$79*'wgl tot'!H62,0),0),2)</f>
        <v>0</v>
      </c>
      <c r="U62" s="493">
        <f>ROUND(IF(('wgl tot'!Q62+'wgl tot'!S62+'wgl tot'!T62)*BL62&lt;'wgl tot'!H62*tabellen!$D$92,'wgl tot'!H62*tabellen!$D$92,('wgl tot'!Q62+'wgl tot'!S62+'wgl tot'!T62)*BL62),2)</f>
        <v>0</v>
      </c>
      <c r="V62" s="493">
        <f>ROUND(+('wgl tot'!Q62+'wgl tot'!S62+'wgl tot'!T62)*BM62,2)</f>
        <v>0</v>
      </c>
      <c r="W62" s="493">
        <f>+tabellen!$C$87*'wgl tot'!H62</f>
        <v>0</v>
      </c>
      <c r="X62" s="493">
        <f>VLOOKUP(BN62,eindejaarsuitkering_OOP,2,TRUE)*'wgl tot'!H62/12</f>
        <v>0</v>
      </c>
      <c r="Y62" s="493">
        <f>ROUND(IF(BO62="j",tabellen!$D$101*IF('wgl tot'!H62&gt;1,1,'wgl tot'!H62),0),2)</f>
        <v>0</v>
      </c>
      <c r="Z62" s="511">
        <f t="shared" si="9"/>
        <v>0</v>
      </c>
      <c r="AA62" s="338"/>
      <c r="AB62" s="339"/>
      <c r="AC62" s="492">
        <f t="shared" si="10"/>
        <v>0</v>
      </c>
      <c r="AD62" s="493">
        <f>ROUND(IF(L62="j",VLOOKUP(K62,bindingstoelage,2,FALSE))*IF('wgl tot'!H62&gt;1,1,'wgl tot'!H62),2)</f>
        <v>0</v>
      </c>
      <c r="AE62" s="493">
        <f>ROUND('wgl tot'!H62*tabellen!$D$99,2)</f>
        <v>0</v>
      </c>
      <c r="AF62" s="492">
        <f t="shared" si="11"/>
        <v>0</v>
      </c>
      <c r="AG62" s="336"/>
      <c r="AH62" s="492">
        <f t="shared" si="12"/>
        <v>0</v>
      </c>
      <c r="AI62" s="494">
        <f>IF('wgl tot'!E62&lt;1950,0,+('wgl tot'!Q62+'wgl tot'!S62+'wgl tot'!T62)*tabellen!$C$89)*12</f>
        <v>0</v>
      </c>
      <c r="AJ62" s="336"/>
      <c r="AK62" s="493">
        <f t="shared" si="19"/>
        <v>0</v>
      </c>
      <c r="AL62" s="493">
        <f>IF(F62="",0,(IF('wgl tot'!AH62/'wgl tot'!H62&lt;tabellen!$E$53,0,('wgl tot'!AH62-tabellen!$E$53*'wgl tot'!H62)/12)*tabellen!$C$53))</f>
        <v>0</v>
      </c>
      <c r="AM62" s="493">
        <f>IF(F62="",0,(IF('wgl tot'!AH62/'wgl tot'!H62&lt;tabellen!$E$54,0,(+'wgl tot'!AH62-tabellen!$E$54*'wgl tot'!H62)/12)*tabellen!$C$54))</f>
        <v>0</v>
      </c>
      <c r="AN62" s="493">
        <f>'wgl tot'!AH62/12*tabellen!$C$55</f>
        <v>0</v>
      </c>
      <c r="AO62" s="493">
        <f>IF(H62=0,0,IF(BU62&gt;tabellen!$G$56/12,tabellen!$G$56/12,BU62)*(tabellen!$C$56+tabellen!$C$57))</f>
        <v>0</v>
      </c>
      <c r="AP62" s="493">
        <f>IF(F62="",0,('wgl tot'!BV62))</f>
        <v>0</v>
      </c>
      <c r="AQ62" s="495">
        <f>IF(F62="",0,(IF('wgl tot'!BU62&gt;tabellen!$G$59*'wgl tot'!H62/12,tabellen!$G$59*'wgl tot'!H62/12,'wgl tot'!BU62)*tabellen!$C$59))</f>
        <v>0</v>
      </c>
      <c r="AR62" s="495">
        <f>IF(F62="",0,('wgl tot'!BU62*IF(N62=1,tabellen!$C$60,IF(N62=2,tabellen!C116,IF(N62=3,tabellen!$C$62,tabellen!$C$63)))))</f>
        <v>0</v>
      </c>
      <c r="AS62" s="495">
        <f>IF(F62="",0,('wgl tot'!BU62*tabellen!$C$64))</f>
        <v>0</v>
      </c>
      <c r="AT62" s="495">
        <f>+'wgl tot'!AI62/12</f>
        <v>0</v>
      </c>
      <c r="AU62" s="530">
        <v>0</v>
      </c>
      <c r="AV62" s="291">
        <f t="shared" si="20"/>
        <v>0</v>
      </c>
      <c r="AW62" s="515">
        <f t="shared" si="21"/>
        <v>0</v>
      </c>
      <c r="AX62" s="515">
        <f t="shared" si="13"/>
        <v>0</v>
      </c>
      <c r="AY62" s="336"/>
      <c r="AZ62" s="501" t="str">
        <f>IF(AW62=0,"",(+'wgl tot'!AW62/'wgl tot'!Q62-1))</f>
        <v/>
      </c>
      <c r="BA62" s="336"/>
      <c r="BB62" s="319"/>
      <c r="BE62" s="482">
        <f ca="1">YEAR('wgl tot'!$BE$10)-YEAR('wgl tot'!E62)</f>
        <v>118</v>
      </c>
      <c r="BF62" s="482">
        <f ca="1">MONTH('wgl tot'!$BE$10)-MONTH('wgl tot'!E62)</f>
        <v>0</v>
      </c>
      <c r="BG62" s="482">
        <f ca="1">DAY('wgl tot'!$BE$10)-DAY('wgl tot'!E62)</f>
        <v>3</v>
      </c>
      <c r="BH62" s="474">
        <f>IF(AND('wgl tot'!F62&gt;0,'wgl tot'!F62&lt;16),0,100)</f>
        <v>100</v>
      </c>
      <c r="BI62" s="474" t="e">
        <f>VLOOKUP('wgl tot'!F62,salaristabellen,22,FALSE)</f>
        <v>#N/A</v>
      </c>
      <c r="BJ62" s="474">
        <f t="shared" si="22"/>
        <v>0</v>
      </c>
      <c r="BK62" s="480">
        <v>42583</v>
      </c>
      <c r="BL62" s="483">
        <f t="shared" si="16"/>
        <v>0.08</v>
      </c>
      <c r="BM62" s="484">
        <f>+tabellen!$D$93</f>
        <v>6.3E-2</v>
      </c>
      <c r="BN62" s="482">
        <f>IF('wgl tot'!BH62=100,0,'wgl tot'!F62)</f>
        <v>0</v>
      </c>
      <c r="BO62" s="484" t="str">
        <f>IF(OR('wgl tot'!F62="DA",'wgl tot'!F62="DB",'wgl tot'!F62="DBuit",'wgl tot'!F62="DC",'wgl tot'!F62="DCuit",MID('wgl tot'!F62,1,5)="meerh"),"j","n")</f>
        <v>n</v>
      </c>
      <c r="BP62" s="485"/>
      <c r="BQ62" s="486" t="e">
        <f>IF('wgl tot'!AH62/'wgl tot'!H62&lt;tabellen!$E$53,0,(+'wgl tot'!AH62-tabellen!$E$53*'wgl tot'!H62)/12*tabellen!$D$53)</f>
        <v>#DIV/0!</v>
      </c>
      <c r="BR62" s="486" t="e">
        <f>IF('wgl tot'!AH62/'wgl tot'!H62&lt;tabellen!$E$54,0,(+'wgl tot'!AH62-tabellen!$E$54*'wgl tot'!H62)/12*tabellen!$D$54)</f>
        <v>#DIV/0!</v>
      </c>
      <c r="BS62" s="486">
        <f>'wgl tot'!AH62/12*tabellen!$D$55</f>
        <v>0</v>
      </c>
      <c r="BT62" s="487" t="e">
        <f>SUM(BQ62:BS62)</f>
        <v>#DIV/0!</v>
      </c>
      <c r="BU62" s="488" t="e">
        <f>+('wgl tot'!AF62+'wgl tot'!AI62)/12-'wgl tot'!BT62</f>
        <v>#DIV/0!</v>
      </c>
      <c r="BV62" s="488" t="e">
        <f>ROUND(IF('wgl tot'!BU62&gt;tabellen!$H$58,tabellen!$H$58,'wgl tot'!BU62)*tabellen!$C$58,2)</f>
        <v>#DIV/0!</v>
      </c>
      <c r="BW62" s="488" t="e">
        <f>+'wgl tot'!BU62+'wgl tot'!BV62</f>
        <v>#DIV/0!</v>
      </c>
      <c r="BX62" s="489">
        <f t="shared" si="23"/>
        <v>1900</v>
      </c>
      <c r="BY62" s="489">
        <f t="shared" si="24"/>
        <v>1</v>
      </c>
      <c r="BZ62" s="482">
        <f t="shared" si="25"/>
        <v>0</v>
      </c>
      <c r="CA62" s="480">
        <f t="shared" si="14"/>
        <v>22462</v>
      </c>
      <c r="CB62" s="480">
        <f t="shared" ca="1" si="15"/>
        <v>43103.670106134261</v>
      </c>
      <c r="CC62" s="474"/>
      <c r="CD62" s="480"/>
      <c r="CE62" s="474"/>
      <c r="CF62" s="485"/>
      <c r="CG62" s="485"/>
      <c r="CH62" s="485"/>
      <c r="CI62" s="485"/>
      <c r="CJ62" s="485"/>
      <c r="CK62" s="485"/>
    </row>
    <row r="63" spans="2:89" ht="13.5" customHeight="1" x14ac:dyDescent="0.2">
      <c r="B63" s="318"/>
      <c r="C63" s="336"/>
      <c r="D63" s="286"/>
      <c r="E63" s="287"/>
      <c r="F63" s="374"/>
      <c r="G63" s="288"/>
      <c r="H63" s="289"/>
      <c r="I63" s="288"/>
      <c r="J63" s="288"/>
      <c r="K63" s="288"/>
      <c r="L63" s="288"/>
      <c r="M63" s="288"/>
      <c r="N63" s="290"/>
      <c r="O63" s="336"/>
      <c r="P63" s="499">
        <f>IF(F63="",0,(VLOOKUP('wgl tot'!F63,salaristabellen,'wgl tot'!G63+1,FALSE)))</f>
        <v>0</v>
      </c>
      <c r="Q63" s="518">
        <f t="shared" si="18"/>
        <v>0</v>
      </c>
      <c r="R63" s="336"/>
      <c r="S63" s="493">
        <f>ROUND(IF(I63="j",VLOOKUP(BJ63,uitlooptoeslag,2,FALSE))*IF('wgl tot'!H63&gt;1,1,'wgl tot'!H63),2)</f>
        <v>0</v>
      </c>
      <c r="T63" s="493">
        <f>ROUND(IF(OR('wgl tot'!F63="LA",'wgl tot'!F63="LB"),IF(J63="j",tabellen!$C$79*'wgl tot'!H63,0),0),2)</f>
        <v>0</v>
      </c>
      <c r="U63" s="493">
        <f>ROUND(IF(('wgl tot'!Q63+'wgl tot'!S63+'wgl tot'!T63)*BL63&lt;'wgl tot'!H63*tabellen!$D$92,'wgl tot'!H63*tabellen!$D$92,('wgl tot'!Q63+'wgl tot'!S63+'wgl tot'!T63)*BL63),2)</f>
        <v>0</v>
      </c>
      <c r="V63" s="493">
        <f>ROUND(+('wgl tot'!Q63+'wgl tot'!S63+'wgl tot'!T63)*BM63,2)</f>
        <v>0</v>
      </c>
      <c r="W63" s="493">
        <f>+tabellen!$C$87*'wgl tot'!H63</f>
        <v>0</v>
      </c>
      <c r="X63" s="493">
        <f>VLOOKUP(BN63,eindejaarsuitkering_OOP,2,TRUE)*'wgl tot'!H63/12</f>
        <v>0</v>
      </c>
      <c r="Y63" s="493">
        <f>ROUND(IF(BO63="j",tabellen!$D$101*IF('wgl tot'!H63&gt;1,1,'wgl tot'!H63),0),2)</f>
        <v>0</v>
      </c>
      <c r="Z63" s="511">
        <f t="shared" si="9"/>
        <v>0</v>
      </c>
      <c r="AA63" s="338"/>
      <c r="AB63" s="339"/>
      <c r="AC63" s="492">
        <f t="shared" si="10"/>
        <v>0</v>
      </c>
      <c r="AD63" s="493">
        <f>ROUND(IF(L63="j",VLOOKUP(K63,bindingstoelage,2,FALSE))*IF('wgl tot'!H63&gt;1,1,'wgl tot'!H63),2)</f>
        <v>0</v>
      </c>
      <c r="AE63" s="493">
        <f>ROUND('wgl tot'!H63*tabellen!$D$99,2)</f>
        <v>0</v>
      </c>
      <c r="AF63" s="492">
        <f t="shared" si="11"/>
        <v>0</v>
      </c>
      <c r="AG63" s="336"/>
      <c r="AH63" s="492">
        <f t="shared" si="12"/>
        <v>0</v>
      </c>
      <c r="AI63" s="494">
        <f>IF('wgl tot'!E63&lt;1950,0,+('wgl tot'!Q63+'wgl tot'!S63+'wgl tot'!T63)*tabellen!$C$89)*12</f>
        <v>0</v>
      </c>
      <c r="AJ63" s="336"/>
      <c r="AK63" s="493">
        <f t="shared" si="19"/>
        <v>0</v>
      </c>
      <c r="AL63" s="493">
        <f>IF(F63="",0,(IF('wgl tot'!AH63/'wgl tot'!H63&lt;tabellen!$E$53,0,('wgl tot'!AH63-tabellen!$E$53*'wgl tot'!H63)/12)*tabellen!$C$53))</f>
        <v>0</v>
      </c>
      <c r="AM63" s="493">
        <f>IF(F63="",0,(IF('wgl tot'!AH63/'wgl tot'!H63&lt;tabellen!$E$54,0,(+'wgl tot'!AH63-tabellen!$E$54*'wgl tot'!H63)/12)*tabellen!$C$54))</f>
        <v>0</v>
      </c>
      <c r="AN63" s="493">
        <f>'wgl tot'!AH63/12*tabellen!$C$55</f>
        <v>0</v>
      </c>
      <c r="AO63" s="493">
        <f>IF(H63=0,0,IF(BU63&gt;tabellen!$G$56/12,tabellen!$G$56/12,BU63)*(tabellen!$C$56+tabellen!$C$57))</f>
        <v>0</v>
      </c>
      <c r="AP63" s="493">
        <f>IF(F63="",0,('wgl tot'!BV63))</f>
        <v>0</v>
      </c>
      <c r="AQ63" s="495">
        <f>IF(F63="",0,(IF('wgl tot'!BU63&gt;tabellen!$G$59*'wgl tot'!H63/12,tabellen!$G$59*'wgl tot'!H63/12,'wgl tot'!BU63)*tabellen!$C$59))</f>
        <v>0</v>
      </c>
      <c r="AR63" s="495">
        <f>IF(F63="",0,('wgl tot'!BU63*IF(N63=1,tabellen!$C$60,IF(N63=2,tabellen!C117,IF(N63=3,tabellen!$C$62,tabellen!$C$63)))))</f>
        <v>0</v>
      </c>
      <c r="AS63" s="495">
        <f>IF(F63="",0,('wgl tot'!BU63*tabellen!$C$64))</f>
        <v>0</v>
      </c>
      <c r="AT63" s="495">
        <f>+'wgl tot'!AI63/12</f>
        <v>0</v>
      </c>
      <c r="AU63" s="530">
        <v>0</v>
      </c>
      <c r="AV63" s="291">
        <f t="shared" si="20"/>
        <v>0</v>
      </c>
      <c r="AW63" s="515">
        <f t="shared" si="21"/>
        <v>0</v>
      </c>
      <c r="AX63" s="515">
        <f t="shared" si="13"/>
        <v>0</v>
      </c>
      <c r="AY63" s="336"/>
      <c r="AZ63" s="501" t="str">
        <f>IF(AW63=0,"",(+'wgl tot'!AW63/'wgl tot'!Q63-1))</f>
        <v/>
      </c>
      <c r="BA63" s="336"/>
      <c r="BB63" s="319"/>
      <c r="BE63" s="482">
        <f ca="1">YEAR('wgl tot'!$BE$10)-YEAR('wgl tot'!E63)</f>
        <v>118</v>
      </c>
      <c r="BF63" s="482">
        <f ca="1">MONTH('wgl tot'!$BE$10)-MONTH('wgl tot'!E63)</f>
        <v>0</v>
      </c>
      <c r="BG63" s="482">
        <f ca="1">DAY('wgl tot'!$BE$10)-DAY('wgl tot'!E63)</f>
        <v>3</v>
      </c>
      <c r="BH63" s="474">
        <f>IF(AND('wgl tot'!F63&gt;0,'wgl tot'!F63&lt;16),0,100)</f>
        <v>100</v>
      </c>
      <c r="BI63" s="474" t="e">
        <f>VLOOKUP('wgl tot'!F63,salaristabellen,22,FALSE)</f>
        <v>#N/A</v>
      </c>
      <c r="BJ63" s="474">
        <f t="shared" si="22"/>
        <v>0</v>
      </c>
      <c r="BK63" s="480">
        <v>42583</v>
      </c>
      <c r="BL63" s="483">
        <f t="shared" si="16"/>
        <v>0.08</v>
      </c>
      <c r="BM63" s="484">
        <f>+tabellen!$D$93</f>
        <v>6.3E-2</v>
      </c>
      <c r="BN63" s="482">
        <f>IF('wgl tot'!BH63=100,0,'wgl tot'!F63)</f>
        <v>0</v>
      </c>
      <c r="BO63" s="484" t="str">
        <f>IF(OR('wgl tot'!F63="DA",'wgl tot'!F63="DB",'wgl tot'!F63="DBuit",'wgl tot'!F63="DC",'wgl tot'!F63="DCuit",MID('wgl tot'!F63,1,5)="meerh"),"j","n")</f>
        <v>n</v>
      </c>
      <c r="BP63" s="485"/>
      <c r="BQ63" s="486" t="e">
        <f>IF('wgl tot'!AH63/'wgl tot'!H63&lt;tabellen!$E$53,0,(+'wgl tot'!AH63-tabellen!$E$53*'wgl tot'!H63)/12*tabellen!$D$53)</f>
        <v>#DIV/0!</v>
      </c>
      <c r="BR63" s="486" t="e">
        <f>IF('wgl tot'!AH63/'wgl tot'!H63&lt;tabellen!$E$54,0,(+'wgl tot'!AH63-tabellen!$E$54*'wgl tot'!H63)/12*tabellen!$D$54)</f>
        <v>#DIV/0!</v>
      </c>
      <c r="BS63" s="486">
        <f>'wgl tot'!AH63/12*tabellen!$D$55</f>
        <v>0</v>
      </c>
      <c r="BT63" s="487" t="e">
        <f>SUM(BQ63:BS63)</f>
        <v>#DIV/0!</v>
      </c>
      <c r="BU63" s="488" t="e">
        <f>+('wgl tot'!AF63+'wgl tot'!AI63)/12-'wgl tot'!BT63</f>
        <v>#DIV/0!</v>
      </c>
      <c r="BV63" s="488" t="e">
        <f>ROUND(IF('wgl tot'!BU63&gt;tabellen!$H$58,tabellen!$H$58,'wgl tot'!BU63)*tabellen!$C$58,2)</f>
        <v>#DIV/0!</v>
      </c>
      <c r="BW63" s="488" t="e">
        <f>+'wgl tot'!BU63+'wgl tot'!BV63</f>
        <v>#DIV/0!</v>
      </c>
      <c r="BX63" s="489">
        <f t="shared" si="23"/>
        <v>1900</v>
      </c>
      <c r="BY63" s="489">
        <f t="shared" si="24"/>
        <v>1</v>
      </c>
      <c r="BZ63" s="482">
        <f t="shared" si="25"/>
        <v>0</v>
      </c>
      <c r="CA63" s="480">
        <f t="shared" si="14"/>
        <v>22462</v>
      </c>
      <c r="CB63" s="480">
        <f t="shared" ca="1" si="15"/>
        <v>43103.670106134261</v>
      </c>
      <c r="CC63" s="474"/>
      <c r="CD63" s="480"/>
      <c r="CE63" s="474"/>
      <c r="CF63" s="485"/>
      <c r="CG63" s="485"/>
      <c r="CH63" s="485"/>
      <c r="CI63" s="485"/>
      <c r="CJ63" s="485"/>
      <c r="CK63" s="485"/>
    </row>
    <row r="64" spans="2:89" ht="13.5" customHeight="1" x14ac:dyDescent="0.2">
      <c r="B64" s="318"/>
      <c r="C64" s="336"/>
      <c r="D64" s="286"/>
      <c r="E64" s="287"/>
      <c r="F64" s="374"/>
      <c r="G64" s="288"/>
      <c r="H64" s="289"/>
      <c r="I64" s="288"/>
      <c r="J64" s="288"/>
      <c r="K64" s="288"/>
      <c r="L64" s="288"/>
      <c r="M64" s="288"/>
      <c r="N64" s="290"/>
      <c r="O64" s="336"/>
      <c r="P64" s="499">
        <f>IF(F64="",0,(VLOOKUP('wgl tot'!F64,salaristabellen,'wgl tot'!G64+1,FALSE)))</f>
        <v>0</v>
      </c>
      <c r="Q64" s="518">
        <f t="shared" si="18"/>
        <v>0</v>
      </c>
      <c r="R64" s="336"/>
      <c r="S64" s="493">
        <f>ROUND(IF(I64="j",VLOOKUP(BJ64,uitlooptoeslag,2,FALSE))*IF('wgl tot'!H64&gt;1,1,'wgl tot'!H64),2)</f>
        <v>0</v>
      </c>
      <c r="T64" s="493">
        <f>ROUND(IF(OR('wgl tot'!F64="LA",'wgl tot'!F64="LB"),IF(J64="j",tabellen!$C$79*'wgl tot'!H64,0),0),2)</f>
        <v>0</v>
      </c>
      <c r="U64" s="493">
        <f>ROUND(IF(('wgl tot'!Q64+'wgl tot'!S64+'wgl tot'!T64)*BL64&lt;'wgl tot'!H64*tabellen!$D$92,'wgl tot'!H64*tabellen!$D$92,('wgl tot'!Q64+'wgl tot'!S64+'wgl tot'!T64)*BL64),2)</f>
        <v>0</v>
      </c>
      <c r="V64" s="493">
        <f>ROUND(+('wgl tot'!Q64+'wgl tot'!S64+'wgl tot'!T64)*BM64,2)</f>
        <v>0</v>
      </c>
      <c r="W64" s="493">
        <f>+tabellen!$C$87*'wgl tot'!H64</f>
        <v>0</v>
      </c>
      <c r="X64" s="493">
        <f>VLOOKUP(BN64,eindejaarsuitkering_OOP,2,TRUE)*'wgl tot'!H64/12</f>
        <v>0</v>
      </c>
      <c r="Y64" s="493">
        <f>ROUND(IF(BO64="j",tabellen!$D$101*IF('wgl tot'!H64&gt;1,1,'wgl tot'!H64),0),2)</f>
        <v>0</v>
      </c>
      <c r="Z64" s="511">
        <f t="shared" si="9"/>
        <v>0</v>
      </c>
      <c r="AA64" s="338"/>
      <c r="AB64" s="339"/>
      <c r="AC64" s="492">
        <f t="shared" si="10"/>
        <v>0</v>
      </c>
      <c r="AD64" s="493">
        <f>ROUND(IF(L64="j",VLOOKUP(K64,bindingstoelage,2,FALSE))*IF('wgl tot'!H64&gt;1,1,'wgl tot'!H64),2)</f>
        <v>0</v>
      </c>
      <c r="AE64" s="493">
        <f>ROUND('wgl tot'!H64*tabellen!$D$99,2)</f>
        <v>0</v>
      </c>
      <c r="AF64" s="492">
        <f t="shared" si="11"/>
        <v>0</v>
      </c>
      <c r="AG64" s="336"/>
      <c r="AH64" s="492">
        <f t="shared" si="12"/>
        <v>0</v>
      </c>
      <c r="AI64" s="494">
        <f>IF('wgl tot'!E64&lt;1950,0,+('wgl tot'!Q64+'wgl tot'!S64+'wgl tot'!T64)*tabellen!$C$89)*12</f>
        <v>0</v>
      </c>
      <c r="AJ64" s="336"/>
      <c r="AK64" s="493">
        <f t="shared" si="19"/>
        <v>0</v>
      </c>
      <c r="AL64" s="493">
        <f>IF(F64="",0,(IF('wgl tot'!AH64/'wgl tot'!H64&lt;tabellen!$E$53,0,('wgl tot'!AH64-tabellen!$E$53*'wgl tot'!H64)/12)*tabellen!$C$53))</f>
        <v>0</v>
      </c>
      <c r="AM64" s="493">
        <f>IF(F64="",0,(IF('wgl tot'!AH64/'wgl tot'!H64&lt;tabellen!$E$54,0,(+'wgl tot'!AH64-tabellen!$E$54*'wgl tot'!H64)/12)*tabellen!$C$54))</f>
        <v>0</v>
      </c>
      <c r="AN64" s="493">
        <f>'wgl tot'!AH64/12*tabellen!$C$55</f>
        <v>0</v>
      </c>
      <c r="AO64" s="493">
        <f>IF(H64=0,0,IF(BU64&gt;tabellen!$G$56/12,tabellen!$G$56/12,BU64)*(tabellen!$C$56+tabellen!$C$57))</f>
        <v>0</v>
      </c>
      <c r="AP64" s="493">
        <f>IF(F64="",0,('wgl tot'!BV64))</f>
        <v>0</v>
      </c>
      <c r="AQ64" s="495">
        <f>IF(F64="",0,(IF('wgl tot'!BU64&gt;tabellen!$G$59*'wgl tot'!H64/12,tabellen!$G$59*'wgl tot'!H64/12,'wgl tot'!BU64)*tabellen!$C$59))</f>
        <v>0</v>
      </c>
      <c r="AR64" s="495">
        <f>IF(F64="",0,('wgl tot'!BU64*IF(N64=1,tabellen!$C$60,IF(N64=2,tabellen!C118,IF(N64=3,tabellen!$C$62,tabellen!$C$63)))))</f>
        <v>0</v>
      </c>
      <c r="AS64" s="495">
        <f>IF(F64="",0,('wgl tot'!BU64*tabellen!$C$64))</f>
        <v>0</v>
      </c>
      <c r="AT64" s="495">
        <f>+'wgl tot'!AI64/12</f>
        <v>0</v>
      </c>
      <c r="AU64" s="530">
        <v>0</v>
      </c>
      <c r="AV64" s="291">
        <f t="shared" si="20"/>
        <v>0</v>
      </c>
      <c r="AW64" s="515">
        <f t="shared" si="21"/>
        <v>0</v>
      </c>
      <c r="AX64" s="515">
        <f t="shared" si="13"/>
        <v>0</v>
      </c>
      <c r="AY64" s="336"/>
      <c r="AZ64" s="501" t="str">
        <f>IF(AW64=0,"",(+'wgl tot'!AW64/'wgl tot'!Q64-1))</f>
        <v/>
      </c>
      <c r="BA64" s="336"/>
      <c r="BB64" s="319"/>
      <c r="BE64" s="482">
        <f ca="1">YEAR('wgl tot'!$BE$10)-YEAR('wgl tot'!E64)</f>
        <v>118</v>
      </c>
      <c r="BF64" s="482">
        <f ca="1">MONTH('wgl tot'!$BE$10)-MONTH('wgl tot'!E64)</f>
        <v>0</v>
      </c>
      <c r="BG64" s="482">
        <f ca="1">DAY('wgl tot'!$BE$10)-DAY('wgl tot'!E64)</f>
        <v>3</v>
      </c>
      <c r="BH64" s="474">
        <f>IF(AND('wgl tot'!F64&gt;0,'wgl tot'!F64&lt;16),0,100)</f>
        <v>100</v>
      </c>
      <c r="BI64" s="474" t="e">
        <f>VLOOKUP('wgl tot'!F64,salaristabellen,22,FALSE)</f>
        <v>#N/A</v>
      </c>
      <c r="BJ64" s="474">
        <f t="shared" si="22"/>
        <v>0</v>
      </c>
      <c r="BK64" s="480">
        <v>42583</v>
      </c>
      <c r="BL64" s="483">
        <f t="shared" si="16"/>
        <v>0.08</v>
      </c>
      <c r="BM64" s="484">
        <f>+tabellen!$D$93</f>
        <v>6.3E-2</v>
      </c>
      <c r="BN64" s="482">
        <f>IF('wgl tot'!BH64=100,0,'wgl tot'!F64)</f>
        <v>0</v>
      </c>
      <c r="BO64" s="484" t="str">
        <f>IF(OR('wgl tot'!F64="DA",'wgl tot'!F64="DB",'wgl tot'!F64="DBuit",'wgl tot'!F64="DC",'wgl tot'!F64="DCuit",MID('wgl tot'!F64,1,5)="meerh"),"j","n")</f>
        <v>n</v>
      </c>
      <c r="BP64" s="485"/>
      <c r="BQ64" s="486" t="e">
        <f>IF('wgl tot'!AH64/'wgl tot'!H64&lt;tabellen!$E$53,0,(+'wgl tot'!AH64-tabellen!$E$53*'wgl tot'!H64)/12*tabellen!$D$53)</f>
        <v>#DIV/0!</v>
      </c>
      <c r="BR64" s="486" t="e">
        <f>IF('wgl tot'!AH64/'wgl tot'!H64&lt;tabellen!$E$54,0,(+'wgl tot'!AH64-tabellen!$E$54*'wgl tot'!H64)/12*tabellen!$D$54)</f>
        <v>#DIV/0!</v>
      </c>
      <c r="BS64" s="486">
        <f>'wgl tot'!AH64/12*tabellen!$D$55</f>
        <v>0</v>
      </c>
      <c r="BT64" s="487" t="e">
        <f t="shared" si="17"/>
        <v>#DIV/0!</v>
      </c>
      <c r="BU64" s="488" t="e">
        <f>+('wgl tot'!AF64+'wgl tot'!AI64)/12-'wgl tot'!BT64</f>
        <v>#DIV/0!</v>
      </c>
      <c r="BV64" s="488" t="e">
        <f>ROUND(IF('wgl tot'!BU64&gt;tabellen!$H$58,tabellen!$H$58,'wgl tot'!BU64)*tabellen!$C$58,2)</f>
        <v>#DIV/0!</v>
      </c>
      <c r="BW64" s="488" t="e">
        <f>+'wgl tot'!BU64+'wgl tot'!BV64</f>
        <v>#DIV/0!</v>
      </c>
      <c r="BX64" s="489">
        <f t="shared" si="23"/>
        <v>1900</v>
      </c>
      <c r="BY64" s="489">
        <f t="shared" si="24"/>
        <v>1</v>
      </c>
      <c r="BZ64" s="482">
        <f t="shared" si="25"/>
        <v>0</v>
      </c>
      <c r="CA64" s="480">
        <f t="shared" si="14"/>
        <v>22462</v>
      </c>
      <c r="CB64" s="480">
        <f t="shared" ca="1" si="15"/>
        <v>43103.670106134261</v>
      </c>
      <c r="CC64" s="474"/>
      <c r="CD64" s="480"/>
      <c r="CE64" s="474"/>
      <c r="CF64" s="485"/>
      <c r="CG64" s="485"/>
      <c r="CH64" s="485"/>
      <c r="CI64" s="485"/>
      <c r="CJ64" s="485"/>
      <c r="CK64" s="485"/>
    </row>
    <row r="65" spans="2:89" ht="13.5" customHeight="1" x14ac:dyDescent="0.2">
      <c r="B65" s="318"/>
      <c r="C65" s="336"/>
      <c r="D65" s="286"/>
      <c r="E65" s="287"/>
      <c r="F65" s="374"/>
      <c r="G65" s="288"/>
      <c r="H65" s="289"/>
      <c r="I65" s="288"/>
      <c r="J65" s="288"/>
      <c r="K65" s="288"/>
      <c r="L65" s="288"/>
      <c r="M65" s="288"/>
      <c r="N65" s="290"/>
      <c r="O65" s="336"/>
      <c r="P65" s="499">
        <f>IF(F65="",0,(VLOOKUP('wgl tot'!F65,salaristabellen,'wgl tot'!G65+1,FALSE)))</f>
        <v>0</v>
      </c>
      <c r="Q65" s="518">
        <f t="shared" si="18"/>
        <v>0</v>
      </c>
      <c r="R65" s="336"/>
      <c r="S65" s="493">
        <f>ROUND(IF(I65="j",VLOOKUP(BJ65,uitlooptoeslag,2,FALSE))*IF('wgl tot'!H65&gt;1,1,'wgl tot'!H65),2)</f>
        <v>0</v>
      </c>
      <c r="T65" s="493">
        <f>ROUND(IF(OR('wgl tot'!F65="LA",'wgl tot'!F65="LB"),IF(J65="j",tabellen!$C$79*'wgl tot'!H65,0),0),2)</f>
        <v>0</v>
      </c>
      <c r="U65" s="493">
        <f>ROUND(IF(('wgl tot'!Q65+'wgl tot'!S65+'wgl tot'!T65)*BL65&lt;'wgl tot'!H65*tabellen!$D$92,'wgl tot'!H65*tabellen!$D$92,('wgl tot'!Q65+'wgl tot'!S65+'wgl tot'!T65)*BL65),2)</f>
        <v>0</v>
      </c>
      <c r="V65" s="493">
        <f>ROUND(+('wgl tot'!Q65+'wgl tot'!S65+'wgl tot'!T65)*BM65,2)</f>
        <v>0</v>
      </c>
      <c r="W65" s="493">
        <f>+tabellen!$C$87*'wgl tot'!H65</f>
        <v>0</v>
      </c>
      <c r="X65" s="493">
        <f>VLOOKUP(BN65,eindejaarsuitkering_OOP,2,TRUE)*'wgl tot'!H65/12</f>
        <v>0</v>
      </c>
      <c r="Y65" s="493">
        <f>ROUND(IF(BO65="j",tabellen!$D$101*IF('wgl tot'!H65&gt;1,1,'wgl tot'!H65),0),2)</f>
        <v>0</v>
      </c>
      <c r="Z65" s="511">
        <f t="shared" si="9"/>
        <v>0</v>
      </c>
      <c r="AA65" s="338"/>
      <c r="AB65" s="339"/>
      <c r="AC65" s="492">
        <f t="shared" si="10"/>
        <v>0</v>
      </c>
      <c r="AD65" s="493">
        <f>ROUND(IF(L65="j",VLOOKUP(K65,bindingstoelage,2,FALSE))*IF('wgl tot'!H65&gt;1,1,'wgl tot'!H65),2)</f>
        <v>0</v>
      </c>
      <c r="AE65" s="493">
        <f>ROUND('wgl tot'!H65*tabellen!$D$99,2)</f>
        <v>0</v>
      </c>
      <c r="AF65" s="492">
        <f t="shared" si="11"/>
        <v>0</v>
      </c>
      <c r="AG65" s="336"/>
      <c r="AH65" s="492">
        <f t="shared" si="12"/>
        <v>0</v>
      </c>
      <c r="AI65" s="494">
        <f>IF('wgl tot'!E65&lt;1950,0,+('wgl tot'!Q65+'wgl tot'!S65+'wgl tot'!T65)*tabellen!$C$89)*12</f>
        <v>0</v>
      </c>
      <c r="AJ65" s="336"/>
      <c r="AK65" s="493">
        <f t="shared" si="19"/>
        <v>0</v>
      </c>
      <c r="AL65" s="493">
        <f>IF(F65="",0,(IF('wgl tot'!AH65/'wgl tot'!H65&lt;tabellen!$E$53,0,('wgl tot'!AH65-tabellen!$E$53*'wgl tot'!H65)/12)*tabellen!$C$53))</f>
        <v>0</v>
      </c>
      <c r="AM65" s="493">
        <f>IF(F65="",0,(IF('wgl tot'!AH65/'wgl tot'!H65&lt;tabellen!$E$54,0,(+'wgl tot'!AH65-tabellen!$E$54*'wgl tot'!H65)/12)*tabellen!$C$54))</f>
        <v>0</v>
      </c>
      <c r="AN65" s="493">
        <f>'wgl tot'!AH65/12*tabellen!$C$55</f>
        <v>0</v>
      </c>
      <c r="AO65" s="493">
        <f>IF(H65=0,0,IF(BU65&gt;tabellen!$G$56/12,tabellen!$G$56/12,BU65)*(tabellen!$C$56+tabellen!$C$57))</f>
        <v>0</v>
      </c>
      <c r="AP65" s="493">
        <f>IF(F65="",0,('wgl tot'!BV65))</f>
        <v>0</v>
      </c>
      <c r="AQ65" s="495">
        <f>IF(F65="",0,(IF('wgl tot'!BU65&gt;tabellen!$G$59*'wgl tot'!H65/12,tabellen!$G$59*'wgl tot'!H65/12,'wgl tot'!BU65)*tabellen!$C$59))</f>
        <v>0</v>
      </c>
      <c r="AR65" s="495">
        <f>IF(F65="",0,('wgl tot'!BU65*IF(N65=1,tabellen!$C$60,IF(N65=2,tabellen!C119,IF(N65=3,tabellen!$C$62,tabellen!$C$63)))))</f>
        <v>0</v>
      </c>
      <c r="AS65" s="495">
        <f>IF(F65="",0,('wgl tot'!BU65*tabellen!$C$64))</f>
        <v>0</v>
      </c>
      <c r="AT65" s="495">
        <f>+'wgl tot'!AI65/12</f>
        <v>0</v>
      </c>
      <c r="AU65" s="530">
        <v>0</v>
      </c>
      <c r="AV65" s="291">
        <f t="shared" si="20"/>
        <v>0</v>
      </c>
      <c r="AW65" s="515">
        <f t="shared" si="21"/>
        <v>0</v>
      </c>
      <c r="AX65" s="515">
        <f t="shared" si="13"/>
        <v>0</v>
      </c>
      <c r="AY65" s="336"/>
      <c r="AZ65" s="501" t="str">
        <f>IF(AW65=0,"",(+'wgl tot'!AW65/'wgl tot'!Q65-1))</f>
        <v/>
      </c>
      <c r="BA65" s="336"/>
      <c r="BB65" s="319"/>
      <c r="BE65" s="482">
        <f ca="1">YEAR('wgl tot'!$BE$10)-YEAR('wgl tot'!E65)</f>
        <v>118</v>
      </c>
      <c r="BF65" s="482">
        <f ca="1">MONTH('wgl tot'!$BE$10)-MONTH('wgl tot'!E65)</f>
        <v>0</v>
      </c>
      <c r="BG65" s="482">
        <f ca="1">DAY('wgl tot'!$BE$10)-DAY('wgl tot'!E65)</f>
        <v>3</v>
      </c>
      <c r="BH65" s="474">
        <f>IF(AND('wgl tot'!F65&gt;0,'wgl tot'!F65&lt;16),0,100)</f>
        <v>100</v>
      </c>
      <c r="BI65" s="474" t="e">
        <f>VLOOKUP('wgl tot'!F65,salaristabellen,22,FALSE)</f>
        <v>#N/A</v>
      </c>
      <c r="BJ65" s="474">
        <f t="shared" si="22"/>
        <v>0</v>
      </c>
      <c r="BK65" s="480">
        <v>42583</v>
      </c>
      <c r="BL65" s="483">
        <f t="shared" si="16"/>
        <v>0.08</v>
      </c>
      <c r="BM65" s="484">
        <f>+tabellen!$D$93</f>
        <v>6.3E-2</v>
      </c>
      <c r="BN65" s="482">
        <f>IF('wgl tot'!BH65=100,0,'wgl tot'!F65)</f>
        <v>0</v>
      </c>
      <c r="BO65" s="484" t="str">
        <f>IF(OR('wgl tot'!F65="DA",'wgl tot'!F65="DB",'wgl tot'!F65="DBuit",'wgl tot'!F65="DC",'wgl tot'!F65="DCuit",MID('wgl tot'!F65,1,5)="meerh"),"j","n")</f>
        <v>n</v>
      </c>
      <c r="BP65" s="485"/>
      <c r="BQ65" s="486" t="e">
        <f>IF('wgl tot'!AH65/'wgl tot'!H65&lt;tabellen!$E$53,0,(+'wgl tot'!AH65-tabellen!$E$53*'wgl tot'!H65)/12*tabellen!$D$53)</f>
        <v>#DIV/0!</v>
      </c>
      <c r="BR65" s="486" t="e">
        <f>IF('wgl tot'!AH65/'wgl tot'!H65&lt;tabellen!$E$54,0,(+'wgl tot'!AH65-tabellen!$E$54*'wgl tot'!H65)/12*tabellen!$D$54)</f>
        <v>#DIV/0!</v>
      </c>
      <c r="BS65" s="486">
        <f>'wgl tot'!AH65/12*tabellen!$D$55</f>
        <v>0</v>
      </c>
      <c r="BT65" s="487" t="e">
        <f t="shared" si="17"/>
        <v>#DIV/0!</v>
      </c>
      <c r="BU65" s="488" t="e">
        <f>+('wgl tot'!AF65+'wgl tot'!AI65)/12-'wgl tot'!BT65</f>
        <v>#DIV/0!</v>
      </c>
      <c r="BV65" s="488" t="e">
        <f>ROUND(IF('wgl tot'!BU65&gt;tabellen!$H$58,tabellen!$H$58,'wgl tot'!BU65)*tabellen!$C$58,2)</f>
        <v>#DIV/0!</v>
      </c>
      <c r="BW65" s="488" t="e">
        <f>+'wgl tot'!BU65+'wgl tot'!BV65</f>
        <v>#DIV/0!</v>
      </c>
      <c r="BX65" s="489">
        <f t="shared" si="23"/>
        <v>1900</v>
      </c>
      <c r="BY65" s="489">
        <f t="shared" si="24"/>
        <v>1</v>
      </c>
      <c r="BZ65" s="482">
        <f t="shared" si="25"/>
        <v>0</v>
      </c>
      <c r="CA65" s="480">
        <f t="shared" si="14"/>
        <v>22462</v>
      </c>
      <c r="CB65" s="480">
        <f t="shared" ca="1" si="15"/>
        <v>43103.670106134261</v>
      </c>
      <c r="CC65" s="474"/>
      <c r="CD65" s="480"/>
      <c r="CE65" s="474"/>
      <c r="CF65" s="485"/>
      <c r="CG65" s="485"/>
      <c r="CH65" s="485"/>
      <c r="CI65" s="485"/>
      <c r="CJ65" s="485"/>
      <c r="CK65" s="485"/>
    </row>
    <row r="66" spans="2:89" ht="13.5" customHeight="1" x14ac:dyDescent="0.2">
      <c r="B66" s="318"/>
      <c r="C66" s="336"/>
      <c r="D66" s="286"/>
      <c r="E66" s="287"/>
      <c r="F66" s="374"/>
      <c r="G66" s="288"/>
      <c r="H66" s="289"/>
      <c r="I66" s="288"/>
      <c r="J66" s="288"/>
      <c r="K66" s="288"/>
      <c r="L66" s="288"/>
      <c r="M66" s="288"/>
      <c r="N66" s="290"/>
      <c r="O66" s="336"/>
      <c r="P66" s="499">
        <f>IF(F66="",0,(VLOOKUP('wgl tot'!F66,salaristabellen,'wgl tot'!G66+1,FALSE)))</f>
        <v>0</v>
      </c>
      <c r="Q66" s="518">
        <f t="shared" si="18"/>
        <v>0</v>
      </c>
      <c r="R66" s="336"/>
      <c r="S66" s="493">
        <f>ROUND(IF(I66="j",VLOOKUP(BJ66,uitlooptoeslag,2,FALSE))*IF('wgl tot'!H66&gt;1,1,'wgl tot'!H66),2)</f>
        <v>0</v>
      </c>
      <c r="T66" s="493">
        <f>ROUND(IF(OR('wgl tot'!F66="LA",'wgl tot'!F66="LB"),IF(J66="j",tabellen!$C$79*'wgl tot'!H66,0),0),2)</f>
        <v>0</v>
      </c>
      <c r="U66" s="493">
        <f>ROUND(IF(('wgl tot'!Q66+'wgl tot'!S66+'wgl tot'!T66)*BL66&lt;'wgl tot'!H66*tabellen!$D$92,'wgl tot'!H66*tabellen!$D$92,('wgl tot'!Q66+'wgl tot'!S66+'wgl tot'!T66)*BL66),2)</f>
        <v>0</v>
      </c>
      <c r="V66" s="493">
        <f>ROUND(+('wgl tot'!Q66+'wgl tot'!S66+'wgl tot'!T66)*BM66,2)</f>
        <v>0</v>
      </c>
      <c r="W66" s="493">
        <f>+tabellen!$C$87*'wgl tot'!H66</f>
        <v>0</v>
      </c>
      <c r="X66" s="493">
        <f>VLOOKUP(BN66,eindejaarsuitkering_OOP,2,TRUE)*'wgl tot'!H66/12</f>
        <v>0</v>
      </c>
      <c r="Y66" s="493">
        <f>ROUND(IF(BO66="j",tabellen!$D$101*IF('wgl tot'!H66&gt;1,1,'wgl tot'!H66),0),2)</f>
        <v>0</v>
      </c>
      <c r="Z66" s="511">
        <f t="shared" si="9"/>
        <v>0</v>
      </c>
      <c r="AA66" s="338"/>
      <c r="AB66" s="339"/>
      <c r="AC66" s="492">
        <f t="shared" si="10"/>
        <v>0</v>
      </c>
      <c r="AD66" s="493">
        <f>ROUND(IF(L66="j",VLOOKUP(K66,bindingstoelage,2,FALSE))*IF('wgl tot'!H66&gt;1,1,'wgl tot'!H66),2)</f>
        <v>0</v>
      </c>
      <c r="AE66" s="493">
        <f>ROUND('wgl tot'!H66*tabellen!$D$99,2)</f>
        <v>0</v>
      </c>
      <c r="AF66" s="492">
        <f t="shared" si="11"/>
        <v>0</v>
      </c>
      <c r="AG66" s="336"/>
      <c r="AH66" s="492">
        <f t="shared" si="12"/>
        <v>0</v>
      </c>
      <c r="AI66" s="494">
        <f>IF('wgl tot'!E66&lt;1950,0,+('wgl tot'!Q66+'wgl tot'!S66+'wgl tot'!T66)*tabellen!$C$89)*12</f>
        <v>0</v>
      </c>
      <c r="AJ66" s="336"/>
      <c r="AK66" s="493">
        <f t="shared" si="19"/>
        <v>0</v>
      </c>
      <c r="AL66" s="493">
        <f>IF(F66="",0,(IF('wgl tot'!AH66/'wgl tot'!H66&lt;tabellen!$E$53,0,('wgl tot'!AH66-tabellen!$E$53*'wgl tot'!H66)/12)*tabellen!$C$53))</f>
        <v>0</v>
      </c>
      <c r="AM66" s="493">
        <f>IF(F66="",0,(IF('wgl tot'!AH66/'wgl tot'!H66&lt;tabellen!$E$54,0,(+'wgl tot'!AH66-tabellen!$E$54*'wgl tot'!H66)/12)*tabellen!$C$54))</f>
        <v>0</v>
      </c>
      <c r="AN66" s="493">
        <f>'wgl tot'!AH66/12*tabellen!$C$55</f>
        <v>0</v>
      </c>
      <c r="AO66" s="493">
        <f>IF(H66=0,0,IF(BU66&gt;tabellen!$G$56/12,tabellen!$G$56/12,BU66)*(tabellen!$C$56+tabellen!$C$57))</f>
        <v>0</v>
      </c>
      <c r="AP66" s="493">
        <f>IF(F66="",0,('wgl tot'!BV66))</f>
        <v>0</v>
      </c>
      <c r="AQ66" s="495">
        <f>IF(F66="",0,(IF('wgl tot'!BU66&gt;tabellen!$G$59*'wgl tot'!H66/12,tabellen!$G$59*'wgl tot'!H66/12,'wgl tot'!BU66)*tabellen!$C$59))</f>
        <v>0</v>
      </c>
      <c r="AR66" s="495">
        <f>IF(F66="",0,('wgl tot'!BU66*IF(N66=1,tabellen!$C$60,IF(N66=2,tabellen!C120,IF(N66=3,tabellen!$C$62,tabellen!$C$63)))))</f>
        <v>0</v>
      </c>
      <c r="AS66" s="495">
        <f>IF(F66="",0,('wgl tot'!BU66*tabellen!$C$64))</f>
        <v>0</v>
      </c>
      <c r="AT66" s="495">
        <f>+'wgl tot'!AI66/12</f>
        <v>0</v>
      </c>
      <c r="AU66" s="530">
        <v>0</v>
      </c>
      <c r="AV66" s="291">
        <f t="shared" si="20"/>
        <v>0</v>
      </c>
      <c r="AW66" s="515">
        <f t="shared" si="21"/>
        <v>0</v>
      </c>
      <c r="AX66" s="515">
        <f t="shared" si="13"/>
        <v>0</v>
      </c>
      <c r="AY66" s="336"/>
      <c r="AZ66" s="501" t="str">
        <f>IF(AW66=0,"",(+'wgl tot'!AW66/'wgl tot'!Q66-1))</f>
        <v/>
      </c>
      <c r="BA66" s="336"/>
      <c r="BB66" s="319"/>
      <c r="BE66" s="482">
        <f ca="1">YEAR('wgl tot'!$BE$10)-YEAR('wgl tot'!E66)</f>
        <v>118</v>
      </c>
      <c r="BF66" s="482">
        <f ca="1">MONTH('wgl tot'!$BE$10)-MONTH('wgl tot'!E66)</f>
        <v>0</v>
      </c>
      <c r="BG66" s="482">
        <f ca="1">DAY('wgl tot'!$BE$10)-DAY('wgl tot'!E66)</f>
        <v>3</v>
      </c>
      <c r="BH66" s="474">
        <f>IF(AND('wgl tot'!F66&gt;0,'wgl tot'!F66&lt;16),0,100)</f>
        <v>100</v>
      </c>
      <c r="BI66" s="474" t="e">
        <f>VLOOKUP('wgl tot'!F66,salaristabellen,22,FALSE)</f>
        <v>#N/A</v>
      </c>
      <c r="BJ66" s="474">
        <f t="shared" si="22"/>
        <v>0</v>
      </c>
      <c r="BK66" s="480">
        <v>42583</v>
      </c>
      <c r="BL66" s="483">
        <f t="shared" si="16"/>
        <v>0.08</v>
      </c>
      <c r="BM66" s="484">
        <f>+tabellen!$D$93</f>
        <v>6.3E-2</v>
      </c>
      <c r="BN66" s="482">
        <f>IF('wgl tot'!BH66=100,0,'wgl tot'!F66)</f>
        <v>0</v>
      </c>
      <c r="BO66" s="484" t="str">
        <f>IF(OR('wgl tot'!F66="DA",'wgl tot'!F66="DB",'wgl tot'!F66="DBuit",'wgl tot'!F66="DC",'wgl tot'!F66="DCuit",MID('wgl tot'!F66,1,5)="meerh"),"j","n")</f>
        <v>n</v>
      </c>
      <c r="BP66" s="485"/>
      <c r="BQ66" s="486" t="e">
        <f>IF('wgl tot'!AH66/'wgl tot'!H66&lt;tabellen!$E$53,0,(+'wgl tot'!AH66-tabellen!$E$53*'wgl tot'!H66)/12*tabellen!$D$53)</f>
        <v>#DIV/0!</v>
      </c>
      <c r="BR66" s="486" t="e">
        <f>IF('wgl tot'!AH66/'wgl tot'!H66&lt;tabellen!$E$54,0,(+'wgl tot'!AH66-tabellen!$E$54*'wgl tot'!H66)/12*tabellen!$D$54)</f>
        <v>#DIV/0!</v>
      </c>
      <c r="BS66" s="486">
        <f>'wgl tot'!AH66/12*tabellen!$D$55</f>
        <v>0</v>
      </c>
      <c r="BT66" s="487" t="e">
        <f t="shared" si="17"/>
        <v>#DIV/0!</v>
      </c>
      <c r="BU66" s="488" t="e">
        <f>+('wgl tot'!AF66+'wgl tot'!AI66)/12-'wgl tot'!BT66</f>
        <v>#DIV/0!</v>
      </c>
      <c r="BV66" s="488" t="e">
        <f>ROUND(IF('wgl tot'!BU66&gt;tabellen!$H$58,tabellen!$H$58,'wgl tot'!BU66)*tabellen!$C$58,2)</f>
        <v>#DIV/0!</v>
      </c>
      <c r="BW66" s="488" t="e">
        <f>+'wgl tot'!BU66+'wgl tot'!BV66</f>
        <v>#DIV/0!</v>
      </c>
      <c r="BX66" s="489">
        <f t="shared" si="23"/>
        <v>1900</v>
      </c>
      <c r="BY66" s="489">
        <f t="shared" si="24"/>
        <v>1</v>
      </c>
      <c r="BZ66" s="482">
        <f t="shared" si="25"/>
        <v>0</v>
      </c>
      <c r="CA66" s="480">
        <f t="shared" si="14"/>
        <v>22462</v>
      </c>
      <c r="CB66" s="480">
        <f t="shared" ca="1" si="15"/>
        <v>43103.670106134261</v>
      </c>
      <c r="CC66" s="474"/>
      <c r="CD66" s="480"/>
      <c r="CE66" s="474"/>
      <c r="CF66" s="485"/>
      <c r="CG66" s="485"/>
      <c r="CH66" s="485"/>
      <c r="CI66" s="485"/>
      <c r="CJ66" s="485"/>
      <c r="CK66" s="485"/>
    </row>
    <row r="67" spans="2:89" ht="13.5" customHeight="1" x14ac:dyDescent="0.2">
      <c r="B67" s="318"/>
      <c r="C67" s="336"/>
      <c r="D67" s="286"/>
      <c r="E67" s="287"/>
      <c r="F67" s="374"/>
      <c r="G67" s="288"/>
      <c r="H67" s="289"/>
      <c r="I67" s="288"/>
      <c r="J67" s="288"/>
      <c r="K67" s="288"/>
      <c r="L67" s="288"/>
      <c r="M67" s="288"/>
      <c r="N67" s="290"/>
      <c r="O67" s="336"/>
      <c r="P67" s="499">
        <f>IF(F67="",0,(VLOOKUP('wgl tot'!F67,salaristabellen,'wgl tot'!G67+1,FALSE)))</f>
        <v>0</v>
      </c>
      <c r="Q67" s="518">
        <f t="shared" si="18"/>
        <v>0</v>
      </c>
      <c r="R67" s="336"/>
      <c r="S67" s="493">
        <f>ROUND(IF(I67="j",VLOOKUP(BJ67,uitlooptoeslag,2,FALSE))*IF('wgl tot'!H67&gt;1,1,'wgl tot'!H67),2)</f>
        <v>0</v>
      </c>
      <c r="T67" s="493">
        <f>ROUND(IF(OR('wgl tot'!F67="LA",'wgl tot'!F67="LB"),IF(J67="j",tabellen!$C$79*'wgl tot'!H67,0),0),2)</f>
        <v>0</v>
      </c>
      <c r="U67" s="493">
        <f>ROUND(IF(('wgl tot'!Q67+'wgl tot'!S67+'wgl tot'!T67)*BL67&lt;'wgl tot'!H67*tabellen!$D$92,'wgl tot'!H67*tabellen!$D$92,('wgl tot'!Q67+'wgl tot'!S67+'wgl tot'!T67)*BL67),2)</f>
        <v>0</v>
      </c>
      <c r="V67" s="493">
        <f>ROUND(+('wgl tot'!Q67+'wgl tot'!S67+'wgl tot'!T67)*BM67,2)</f>
        <v>0</v>
      </c>
      <c r="W67" s="493">
        <f>+tabellen!$C$87*'wgl tot'!H67</f>
        <v>0</v>
      </c>
      <c r="X67" s="493">
        <f>VLOOKUP(BN67,eindejaarsuitkering_OOP,2,TRUE)*'wgl tot'!H67/12</f>
        <v>0</v>
      </c>
      <c r="Y67" s="493">
        <f>ROUND(IF(BO67="j",tabellen!$D$101*IF('wgl tot'!H67&gt;1,1,'wgl tot'!H67),0),2)</f>
        <v>0</v>
      </c>
      <c r="Z67" s="511">
        <f t="shared" si="9"/>
        <v>0</v>
      </c>
      <c r="AA67" s="338"/>
      <c r="AB67" s="339"/>
      <c r="AC67" s="492">
        <f t="shared" si="10"/>
        <v>0</v>
      </c>
      <c r="AD67" s="493">
        <f>ROUND(IF(L67="j",VLOOKUP(K67,bindingstoelage,2,FALSE))*IF('wgl tot'!H67&gt;1,1,'wgl tot'!H67),2)</f>
        <v>0</v>
      </c>
      <c r="AE67" s="493">
        <f>ROUND('wgl tot'!H67*tabellen!$D$99,2)</f>
        <v>0</v>
      </c>
      <c r="AF67" s="492">
        <f t="shared" si="11"/>
        <v>0</v>
      </c>
      <c r="AG67" s="336"/>
      <c r="AH67" s="492">
        <f t="shared" si="12"/>
        <v>0</v>
      </c>
      <c r="AI67" s="494">
        <f>IF('wgl tot'!E67&lt;1950,0,+('wgl tot'!Q67+'wgl tot'!S67+'wgl tot'!T67)*tabellen!$C$89)*12</f>
        <v>0</v>
      </c>
      <c r="AJ67" s="336"/>
      <c r="AK67" s="493">
        <f t="shared" si="19"/>
        <v>0</v>
      </c>
      <c r="AL67" s="493">
        <f>IF(F67="",0,(IF('wgl tot'!AH67/'wgl tot'!H67&lt;tabellen!$E$53,0,('wgl tot'!AH67-tabellen!$E$53*'wgl tot'!H67)/12)*tabellen!$C$53))</f>
        <v>0</v>
      </c>
      <c r="AM67" s="493">
        <f>IF(F67="",0,(IF('wgl tot'!AH67/'wgl tot'!H67&lt;tabellen!$E$54,0,(+'wgl tot'!AH67-tabellen!$E$54*'wgl tot'!H67)/12)*tabellen!$C$54))</f>
        <v>0</v>
      </c>
      <c r="AN67" s="493">
        <f>'wgl tot'!AH67/12*tabellen!$C$55</f>
        <v>0</v>
      </c>
      <c r="AO67" s="493">
        <f>IF(H67=0,0,IF(BU67&gt;tabellen!$G$56/12,tabellen!$G$56/12,BU67)*(tabellen!$C$56+tabellen!$C$57))</f>
        <v>0</v>
      </c>
      <c r="AP67" s="493">
        <f>IF(F67="",0,('wgl tot'!BV67))</f>
        <v>0</v>
      </c>
      <c r="AQ67" s="495">
        <f>IF(F67="",0,(IF('wgl tot'!BU67&gt;tabellen!$G$59*'wgl tot'!H67/12,tabellen!$G$59*'wgl tot'!H67/12,'wgl tot'!BU67)*tabellen!$C$59))</f>
        <v>0</v>
      </c>
      <c r="AR67" s="495">
        <f>IF(F67="",0,('wgl tot'!BU67*IF(N67=1,tabellen!$C$60,IF(N67=2,tabellen!C121,IF(N67=3,tabellen!$C$62,tabellen!$C$63)))))</f>
        <v>0</v>
      </c>
      <c r="AS67" s="495">
        <f>IF(F67="",0,('wgl tot'!BU67*tabellen!$C$64))</f>
        <v>0</v>
      </c>
      <c r="AT67" s="495">
        <f>+'wgl tot'!AI67/12</f>
        <v>0</v>
      </c>
      <c r="AU67" s="530">
        <v>0</v>
      </c>
      <c r="AV67" s="291">
        <f t="shared" si="20"/>
        <v>0</v>
      </c>
      <c r="AW67" s="515">
        <f t="shared" si="21"/>
        <v>0</v>
      </c>
      <c r="AX67" s="515">
        <f t="shared" si="13"/>
        <v>0</v>
      </c>
      <c r="AY67" s="336"/>
      <c r="AZ67" s="501" t="str">
        <f>IF(AW67=0,"",(+'wgl tot'!AW67/'wgl tot'!Q67-1))</f>
        <v/>
      </c>
      <c r="BA67" s="336"/>
      <c r="BB67" s="319"/>
      <c r="BE67" s="482">
        <f ca="1">YEAR('wgl tot'!$BE$10)-YEAR('wgl tot'!E67)</f>
        <v>118</v>
      </c>
      <c r="BF67" s="482">
        <f ca="1">MONTH('wgl tot'!$BE$10)-MONTH('wgl tot'!E67)</f>
        <v>0</v>
      </c>
      <c r="BG67" s="482">
        <f ca="1">DAY('wgl tot'!$BE$10)-DAY('wgl tot'!E67)</f>
        <v>3</v>
      </c>
      <c r="BH67" s="474">
        <f>IF(AND('wgl tot'!F67&gt;0,'wgl tot'!F67&lt;16),0,100)</f>
        <v>100</v>
      </c>
      <c r="BI67" s="474" t="e">
        <f>VLOOKUP('wgl tot'!F67,salaristabellen,22,FALSE)</f>
        <v>#N/A</v>
      </c>
      <c r="BJ67" s="474">
        <f t="shared" si="22"/>
        <v>0</v>
      </c>
      <c r="BK67" s="480">
        <v>42583</v>
      </c>
      <c r="BL67" s="483">
        <f t="shared" si="16"/>
        <v>0.08</v>
      </c>
      <c r="BM67" s="484">
        <f>+tabellen!$D$93</f>
        <v>6.3E-2</v>
      </c>
      <c r="BN67" s="482">
        <f>IF('wgl tot'!BH67=100,0,'wgl tot'!F67)</f>
        <v>0</v>
      </c>
      <c r="BO67" s="484" t="str">
        <f>IF(OR('wgl tot'!F67="DA",'wgl tot'!F67="DB",'wgl tot'!F67="DBuit",'wgl tot'!F67="DC",'wgl tot'!F67="DCuit",MID('wgl tot'!F67,1,5)="meerh"),"j","n")</f>
        <v>n</v>
      </c>
      <c r="BP67" s="485"/>
      <c r="BQ67" s="486" t="e">
        <f>IF('wgl tot'!AH67/'wgl tot'!H67&lt;tabellen!$E$53,0,(+'wgl tot'!AH67-tabellen!$E$53*'wgl tot'!H67)/12*tabellen!$D$53)</f>
        <v>#DIV/0!</v>
      </c>
      <c r="BR67" s="486" t="e">
        <f>IF('wgl tot'!AH67/'wgl tot'!H67&lt;tabellen!$E$54,0,(+'wgl tot'!AH67-tabellen!$E$54*'wgl tot'!H67)/12*tabellen!$D$54)</f>
        <v>#DIV/0!</v>
      </c>
      <c r="BS67" s="486">
        <f>'wgl tot'!AH67/12*tabellen!$D$55</f>
        <v>0</v>
      </c>
      <c r="BT67" s="487" t="e">
        <f t="shared" si="17"/>
        <v>#DIV/0!</v>
      </c>
      <c r="BU67" s="488" t="e">
        <f>+('wgl tot'!AF67+'wgl tot'!AI67)/12-'wgl tot'!BT67</f>
        <v>#DIV/0!</v>
      </c>
      <c r="BV67" s="488" t="e">
        <f>ROUND(IF('wgl tot'!BU67&gt;tabellen!$H$58,tabellen!$H$58,'wgl tot'!BU67)*tabellen!$C$58,2)</f>
        <v>#DIV/0!</v>
      </c>
      <c r="BW67" s="488" t="e">
        <f>+'wgl tot'!BU67+'wgl tot'!BV67</f>
        <v>#DIV/0!</v>
      </c>
      <c r="BX67" s="489">
        <f t="shared" si="23"/>
        <v>1900</v>
      </c>
      <c r="BY67" s="489">
        <f t="shared" si="24"/>
        <v>1</v>
      </c>
      <c r="BZ67" s="482">
        <f t="shared" si="25"/>
        <v>0</v>
      </c>
      <c r="CA67" s="480">
        <f t="shared" si="14"/>
        <v>22462</v>
      </c>
      <c r="CB67" s="480">
        <f t="shared" ca="1" si="15"/>
        <v>43103.670106134261</v>
      </c>
      <c r="CC67" s="474"/>
      <c r="CD67" s="480"/>
      <c r="CE67" s="474"/>
      <c r="CF67" s="485"/>
      <c r="CG67" s="485"/>
      <c r="CH67" s="485"/>
      <c r="CI67" s="485"/>
      <c r="CJ67" s="485"/>
      <c r="CK67" s="485"/>
    </row>
    <row r="68" spans="2:89" ht="13.5" customHeight="1" x14ac:dyDescent="0.2">
      <c r="B68" s="318"/>
      <c r="C68" s="336"/>
      <c r="D68" s="286"/>
      <c r="E68" s="287"/>
      <c r="F68" s="374"/>
      <c r="G68" s="288"/>
      <c r="H68" s="289"/>
      <c r="I68" s="288"/>
      <c r="J68" s="288"/>
      <c r="K68" s="288"/>
      <c r="L68" s="288"/>
      <c r="M68" s="288"/>
      <c r="N68" s="290"/>
      <c r="O68" s="336"/>
      <c r="P68" s="499">
        <f>IF(F68="",0,(VLOOKUP('wgl tot'!F68,salaristabellen,'wgl tot'!G68+1,FALSE)))</f>
        <v>0</v>
      </c>
      <c r="Q68" s="518">
        <f t="shared" si="18"/>
        <v>0</v>
      </c>
      <c r="R68" s="336"/>
      <c r="S68" s="493">
        <f>ROUND(IF(I68="j",VLOOKUP(BJ68,uitlooptoeslag,2,FALSE))*IF('wgl tot'!H68&gt;1,1,'wgl tot'!H68),2)</f>
        <v>0</v>
      </c>
      <c r="T68" s="493">
        <f>ROUND(IF(OR('wgl tot'!F68="LA",'wgl tot'!F68="LB"),IF(J68="j",tabellen!$C$79*'wgl tot'!H68,0),0),2)</f>
        <v>0</v>
      </c>
      <c r="U68" s="493">
        <f>ROUND(IF(('wgl tot'!Q68+'wgl tot'!S68+'wgl tot'!T68)*BL68&lt;'wgl tot'!H68*tabellen!$D$92,'wgl tot'!H68*tabellen!$D$92,('wgl tot'!Q68+'wgl tot'!S68+'wgl tot'!T68)*BL68),2)</f>
        <v>0</v>
      </c>
      <c r="V68" s="493">
        <f>ROUND(+('wgl tot'!Q68+'wgl tot'!S68+'wgl tot'!T68)*BM68,2)</f>
        <v>0</v>
      </c>
      <c r="W68" s="493">
        <f>+tabellen!$C$87*'wgl tot'!H68</f>
        <v>0</v>
      </c>
      <c r="X68" s="493">
        <f>VLOOKUP(BN68,eindejaarsuitkering_OOP,2,TRUE)*'wgl tot'!H68/12</f>
        <v>0</v>
      </c>
      <c r="Y68" s="493">
        <f>ROUND(IF(BO68="j",tabellen!$D$101*IF('wgl tot'!H68&gt;1,1,'wgl tot'!H68),0),2)</f>
        <v>0</v>
      </c>
      <c r="Z68" s="511">
        <f t="shared" si="9"/>
        <v>0</v>
      </c>
      <c r="AA68" s="338"/>
      <c r="AB68" s="339"/>
      <c r="AC68" s="492">
        <f t="shared" si="10"/>
        <v>0</v>
      </c>
      <c r="AD68" s="493">
        <f>ROUND(IF(L68="j",VLOOKUP(K68,bindingstoelage,2,FALSE))*IF('wgl tot'!H68&gt;1,1,'wgl tot'!H68),2)</f>
        <v>0</v>
      </c>
      <c r="AE68" s="493">
        <f>ROUND('wgl tot'!H68*tabellen!$D$99,2)</f>
        <v>0</v>
      </c>
      <c r="AF68" s="492">
        <f t="shared" si="11"/>
        <v>0</v>
      </c>
      <c r="AG68" s="336"/>
      <c r="AH68" s="492">
        <f t="shared" si="12"/>
        <v>0</v>
      </c>
      <c r="AI68" s="494">
        <f>IF('wgl tot'!E68&lt;1950,0,+('wgl tot'!Q68+'wgl tot'!S68+'wgl tot'!T68)*tabellen!$C$89)*12</f>
        <v>0</v>
      </c>
      <c r="AJ68" s="336"/>
      <c r="AK68" s="493">
        <f t="shared" si="19"/>
        <v>0</v>
      </c>
      <c r="AL68" s="493">
        <f>IF(F68="",0,(IF('wgl tot'!AH68/'wgl tot'!H68&lt;tabellen!$E$53,0,('wgl tot'!AH68-tabellen!$E$53*'wgl tot'!H68)/12)*tabellen!$C$53))</f>
        <v>0</v>
      </c>
      <c r="AM68" s="493">
        <f>IF(F68="",0,(IF('wgl tot'!AH68/'wgl tot'!H68&lt;tabellen!$E$54,0,(+'wgl tot'!AH68-tabellen!$E$54*'wgl tot'!H68)/12)*tabellen!$C$54))</f>
        <v>0</v>
      </c>
      <c r="AN68" s="493">
        <f>'wgl tot'!AH68/12*tabellen!$C$55</f>
        <v>0</v>
      </c>
      <c r="AO68" s="493">
        <f>IF(H68=0,0,IF(BU68&gt;tabellen!$G$56/12,tabellen!$G$56/12,BU68)*(tabellen!$C$56+tabellen!$C$57))</f>
        <v>0</v>
      </c>
      <c r="AP68" s="493">
        <f>IF(F68="",0,('wgl tot'!BV68))</f>
        <v>0</v>
      </c>
      <c r="AQ68" s="495">
        <f>IF(F68="",0,(IF('wgl tot'!BU68&gt;tabellen!$G$59*'wgl tot'!H68/12,tabellen!$G$59*'wgl tot'!H68/12,'wgl tot'!BU68)*tabellen!$C$59))</f>
        <v>0</v>
      </c>
      <c r="AR68" s="495">
        <f>IF(F68="",0,('wgl tot'!BU68*IF(N68=1,tabellen!$C$60,IF(N68=2,tabellen!#REF!,IF(N68=3,tabellen!$C$62,tabellen!$C$63)))))</f>
        <v>0</v>
      </c>
      <c r="AS68" s="495">
        <f>IF(F68="",0,('wgl tot'!BU68*tabellen!$C$64))</f>
        <v>0</v>
      </c>
      <c r="AT68" s="495">
        <f>+'wgl tot'!AI68/12</f>
        <v>0</v>
      </c>
      <c r="AU68" s="530">
        <v>0</v>
      </c>
      <c r="AV68" s="291">
        <f t="shared" si="20"/>
        <v>0</v>
      </c>
      <c r="AW68" s="515">
        <f t="shared" si="21"/>
        <v>0</v>
      </c>
      <c r="AX68" s="515">
        <f t="shared" si="13"/>
        <v>0</v>
      </c>
      <c r="AY68" s="336"/>
      <c r="AZ68" s="501" t="str">
        <f>IF(AW68=0,"",(+'wgl tot'!AW68/'wgl tot'!Q68-1))</f>
        <v/>
      </c>
      <c r="BA68" s="336"/>
      <c r="BB68" s="319"/>
      <c r="BE68" s="482">
        <f ca="1">YEAR('wgl tot'!$BE$10)-YEAR('wgl tot'!E68)</f>
        <v>118</v>
      </c>
      <c r="BF68" s="482">
        <f ca="1">MONTH('wgl tot'!$BE$10)-MONTH('wgl tot'!E68)</f>
        <v>0</v>
      </c>
      <c r="BG68" s="482">
        <f ca="1">DAY('wgl tot'!$BE$10)-DAY('wgl tot'!E68)</f>
        <v>3</v>
      </c>
      <c r="BH68" s="474">
        <f>IF(AND('wgl tot'!F68&gt;0,'wgl tot'!F68&lt;16),0,100)</f>
        <v>100</v>
      </c>
      <c r="BI68" s="474" t="e">
        <f>VLOOKUP('wgl tot'!F68,salaristabellen,22,FALSE)</f>
        <v>#N/A</v>
      </c>
      <c r="BJ68" s="474">
        <f t="shared" si="22"/>
        <v>0</v>
      </c>
      <c r="BK68" s="480">
        <v>42583</v>
      </c>
      <c r="BL68" s="483">
        <f t="shared" si="16"/>
        <v>0.08</v>
      </c>
      <c r="BM68" s="484">
        <f>+tabellen!$D$93</f>
        <v>6.3E-2</v>
      </c>
      <c r="BN68" s="482">
        <f>IF('wgl tot'!BH68=100,0,'wgl tot'!F68)</f>
        <v>0</v>
      </c>
      <c r="BO68" s="484" t="str">
        <f>IF(OR('wgl tot'!F68="DA",'wgl tot'!F68="DB",'wgl tot'!F68="DBuit",'wgl tot'!F68="DC",'wgl tot'!F68="DCuit",MID('wgl tot'!F68,1,5)="meerh"),"j","n")</f>
        <v>n</v>
      </c>
      <c r="BP68" s="485"/>
      <c r="BQ68" s="486" t="e">
        <f>IF('wgl tot'!AH68/'wgl tot'!H68&lt;tabellen!$E$53,0,(+'wgl tot'!AH68-tabellen!$E$53*'wgl tot'!H68)/12*tabellen!$D$53)</f>
        <v>#DIV/0!</v>
      </c>
      <c r="BR68" s="486" t="e">
        <f>IF('wgl tot'!AH68/'wgl tot'!H68&lt;tabellen!$E$54,0,(+'wgl tot'!AH68-tabellen!$E$54*'wgl tot'!H68)/12*tabellen!$D$54)</f>
        <v>#DIV/0!</v>
      </c>
      <c r="BS68" s="486">
        <f>'wgl tot'!AH68/12*tabellen!$D$55</f>
        <v>0</v>
      </c>
      <c r="BT68" s="487" t="e">
        <f t="shared" si="17"/>
        <v>#DIV/0!</v>
      </c>
      <c r="BU68" s="488" t="e">
        <f>+('wgl tot'!AF68+'wgl tot'!AI68)/12-'wgl tot'!BT68</f>
        <v>#DIV/0!</v>
      </c>
      <c r="BV68" s="488" t="e">
        <f>ROUND(IF('wgl tot'!BU68&gt;tabellen!$H$58,tabellen!$H$58,'wgl tot'!BU68)*tabellen!$C$58,2)</f>
        <v>#DIV/0!</v>
      </c>
      <c r="BW68" s="488" t="e">
        <f>+'wgl tot'!BU68+'wgl tot'!BV68</f>
        <v>#DIV/0!</v>
      </c>
      <c r="BX68" s="489">
        <f t="shared" si="23"/>
        <v>1900</v>
      </c>
      <c r="BY68" s="489">
        <f t="shared" si="24"/>
        <v>1</v>
      </c>
      <c r="BZ68" s="482">
        <f t="shared" si="25"/>
        <v>0</v>
      </c>
      <c r="CA68" s="480">
        <f t="shared" si="14"/>
        <v>22462</v>
      </c>
      <c r="CB68" s="480">
        <f t="shared" ca="1" si="15"/>
        <v>43103.670106134261</v>
      </c>
      <c r="CC68" s="474"/>
      <c r="CD68" s="480"/>
      <c r="CE68" s="474"/>
      <c r="CF68" s="485"/>
      <c r="CG68" s="485"/>
      <c r="CH68" s="485"/>
      <c r="CI68" s="485"/>
      <c r="CJ68" s="485"/>
      <c r="CK68" s="485"/>
    </row>
    <row r="69" spans="2:89" ht="13.5" customHeight="1" x14ac:dyDescent="0.2">
      <c r="B69" s="318"/>
      <c r="C69" s="336"/>
      <c r="D69" s="286"/>
      <c r="E69" s="287"/>
      <c r="F69" s="374"/>
      <c r="G69" s="288"/>
      <c r="H69" s="289"/>
      <c r="I69" s="288"/>
      <c r="J69" s="288"/>
      <c r="K69" s="288"/>
      <c r="L69" s="288"/>
      <c r="M69" s="288"/>
      <c r="N69" s="290"/>
      <c r="O69" s="336"/>
      <c r="P69" s="499">
        <f>IF(F69="",0,(VLOOKUP('wgl tot'!F69,salaristabellen,'wgl tot'!G69+1,FALSE)))</f>
        <v>0</v>
      </c>
      <c r="Q69" s="518">
        <f t="shared" si="18"/>
        <v>0</v>
      </c>
      <c r="R69" s="336"/>
      <c r="S69" s="493">
        <f>ROUND(IF(I69="j",VLOOKUP(BJ69,uitlooptoeslag,2,FALSE))*IF('wgl tot'!H69&gt;1,1,'wgl tot'!H69),2)</f>
        <v>0</v>
      </c>
      <c r="T69" s="493">
        <f>ROUND(IF(OR('wgl tot'!F69="LA",'wgl tot'!F69="LB"),IF(J69="j",tabellen!$C$79*'wgl tot'!H69,0),0),2)</f>
        <v>0</v>
      </c>
      <c r="U69" s="493">
        <f>ROUND(IF(('wgl tot'!Q69+'wgl tot'!S69+'wgl tot'!T69)*BL69&lt;'wgl tot'!H69*tabellen!$D$92,'wgl tot'!H69*tabellen!$D$92,('wgl tot'!Q69+'wgl tot'!S69+'wgl tot'!T69)*BL69),2)</f>
        <v>0</v>
      </c>
      <c r="V69" s="493">
        <f>ROUND(+('wgl tot'!Q69+'wgl tot'!S69+'wgl tot'!T69)*BM69,2)</f>
        <v>0</v>
      </c>
      <c r="W69" s="493">
        <f>+tabellen!$C$87*'wgl tot'!H69</f>
        <v>0</v>
      </c>
      <c r="X69" s="493">
        <f>VLOOKUP(BN69,eindejaarsuitkering_OOP,2,TRUE)*'wgl tot'!H69/12</f>
        <v>0</v>
      </c>
      <c r="Y69" s="493">
        <f>ROUND(IF(BO69="j",tabellen!$D$101*IF('wgl tot'!H69&gt;1,1,'wgl tot'!H69),0),2)</f>
        <v>0</v>
      </c>
      <c r="Z69" s="511">
        <f t="shared" si="9"/>
        <v>0</v>
      </c>
      <c r="AA69" s="338"/>
      <c r="AB69" s="339"/>
      <c r="AC69" s="492">
        <f t="shared" si="10"/>
        <v>0</v>
      </c>
      <c r="AD69" s="493">
        <f>ROUND(IF(L69="j",VLOOKUP(K69,bindingstoelage,2,FALSE))*IF('wgl tot'!H69&gt;1,1,'wgl tot'!H69),2)</f>
        <v>0</v>
      </c>
      <c r="AE69" s="493">
        <f>ROUND('wgl tot'!H69*tabellen!$D$99,2)</f>
        <v>0</v>
      </c>
      <c r="AF69" s="492">
        <f t="shared" si="11"/>
        <v>0</v>
      </c>
      <c r="AG69" s="336"/>
      <c r="AH69" s="492">
        <f t="shared" si="12"/>
        <v>0</v>
      </c>
      <c r="AI69" s="494">
        <f>IF('wgl tot'!E69&lt;1950,0,+('wgl tot'!Q69+'wgl tot'!S69+'wgl tot'!T69)*tabellen!$C$89)*12</f>
        <v>0</v>
      </c>
      <c r="AJ69" s="336"/>
      <c r="AK69" s="493">
        <f t="shared" si="19"/>
        <v>0</v>
      </c>
      <c r="AL69" s="493">
        <f>IF(F69="",0,(IF('wgl tot'!AH69/'wgl tot'!H69&lt;tabellen!$E$53,0,('wgl tot'!AH69-tabellen!$E$53*'wgl tot'!H69)/12)*tabellen!$C$53))</f>
        <v>0</v>
      </c>
      <c r="AM69" s="493">
        <f>IF(F69="",0,(IF('wgl tot'!AH69/'wgl tot'!H69&lt;tabellen!$E$54,0,(+'wgl tot'!AH69-tabellen!$E$54*'wgl tot'!H69)/12)*tabellen!$C$54))</f>
        <v>0</v>
      </c>
      <c r="AN69" s="493">
        <f>'wgl tot'!AH69/12*tabellen!$C$55</f>
        <v>0</v>
      </c>
      <c r="AO69" s="493">
        <f>IF(H69=0,0,IF(BU69&gt;tabellen!$G$56/12,tabellen!$G$56/12,BU69)*(tabellen!$C$56+tabellen!$C$57))</f>
        <v>0</v>
      </c>
      <c r="AP69" s="493">
        <f>IF(F69="",0,('wgl tot'!BV69))</f>
        <v>0</v>
      </c>
      <c r="AQ69" s="495">
        <f>IF(F69="",0,(IF('wgl tot'!BU69&gt;tabellen!$G$59*'wgl tot'!H69/12,tabellen!$G$59*'wgl tot'!H69/12,'wgl tot'!BU69)*tabellen!$C$59))</f>
        <v>0</v>
      </c>
      <c r="AR69" s="495">
        <f>IF(F69="",0,('wgl tot'!BU69*IF(N69=1,tabellen!$C$60,IF(N69=2,tabellen!#REF!,IF(N69=3,tabellen!$C$62,tabellen!$C$63)))))</f>
        <v>0</v>
      </c>
      <c r="AS69" s="495">
        <f>IF(F69="",0,('wgl tot'!BU69*tabellen!$C$64))</f>
        <v>0</v>
      </c>
      <c r="AT69" s="495">
        <f>+'wgl tot'!AI69/12</f>
        <v>0</v>
      </c>
      <c r="AU69" s="530">
        <v>0</v>
      </c>
      <c r="AV69" s="291">
        <f t="shared" si="20"/>
        <v>0</v>
      </c>
      <c r="AW69" s="515">
        <f t="shared" si="21"/>
        <v>0</v>
      </c>
      <c r="AX69" s="515">
        <f t="shared" si="13"/>
        <v>0</v>
      </c>
      <c r="AY69" s="336"/>
      <c r="AZ69" s="501" t="str">
        <f>IF(AW69=0,"",(+'wgl tot'!AW69/'wgl tot'!Q69-1))</f>
        <v/>
      </c>
      <c r="BA69" s="336"/>
      <c r="BB69" s="319"/>
      <c r="BE69" s="482">
        <f ca="1">YEAR('wgl tot'!$BE$10)-YEAR('wgl tot'!E69)</f>
        <v>118</v>
      </c>
      <c r="BF69" s="482">
        <f ca="1">MONTH('wgl tot'!$BE$10)-MONTH('wgl tot'!E69)</f>
        <v>0</v>
      </c>
      <c r="BG69" s="482">
        <f ca="1">DAY('wgl tot'!$BE$10)-DAY('wgl tot'!E69)</f>
        <v>3</v>
      </c>
      <c r="BH69" s="474">
        <f>IF(AND('wgl tot'!F69&gt;0,'wgl tot'!F69&lt;16),0,100)</f>
        <v>100</v>
      </c>
      <c r="BI69" s="474" t="e">
        <f>VLOOKUP('wgl tot'!F69,salaristabellen,22,FALSE)</f>
        <v>#N/A</v>
      </c>
      <c r="BJ69" s="474">
        <f t="shared" si="22"/>
        <v>0</v>
      </c>
      <c r="BK69" s="480">
        <v>42583</v>
      </c>
      <c r="BL69" s="483">
        <f t="shared" si="16"/>
        <v>0.08</v>
      </c>
      <c r="BM69" s="484">
        <f>+tabellen!$D$93</f>
        <v>6.3E-2</v>
      </c>
      <c r="BN69" s="482">
        <f>IF('wgl tot'!BH69=100,0,'wgl tot'!F69)</f>
        <v>0</v>
      </c>
      <c r="BO69" s="484" t="str">
        <f>IF(OR('wgl tot'!F69="DA",'wgl tot'!F69="DB",'wgl tot'!F69="DBuit",'wgl tot'!F69="DC",'wgl tot'!F69="DCuit",MID('wgl tot'!F69,1,5)="meerh"),"j","n")</f>
        <v>n</v>
      </c>
      <c r="BP69" s="485"/>
      <c r="BQ69" s="486" t="e">
        <f>IF('wgl tot'!AH69/'wgl tot'!H69&lt;tabellen!$E$53,0,(+'wgl tot'!AH69-tabellen!$E$53*'wgl tot'!H69)/12*tabellen!$D$53)</f>
        <v>#DIV/0!</v>
      </c>
      <c r="BR69" s="486" t="e">
        <f>IF('wgl tot'!AH69/'wgl tot'!H69&lt;tabellen!$E$54,0,(+'wgl tot'!AH69-tabellen!$E$54*'wgl tot'!H69)/12*tabellen!$D$54)</f>
        <v>#DIV/0!</v>
      </c>
      <c r="BS69" s="486">
        <f>'wgl tot'!AH69/12*tabellen!$D$55</f>
        <v>0</v>
      </c>
      <c r="BT69" s="487" t="e">
        <f t="shared" si="17"/>
        <v>#DIV/0!</v>
      </c>
      <c r="BU69" s="488" t="e">
        <f>+('wgl tot'!AF69+'wgl tot'!AI69)/12-'wgl tot'!BT69</f>
        <v>#DIV/0!</v>
      </c>
      <c r="BV69" s="488" t="e">
        <f>ROUND(IF('wgl tot'!BU69&gt;tabellen!$H$58,tabellen!$H$58,'wgl tot'!BU69)*tabellen!$C$58,2)</f>
        <v>#DIV/0!</v>
      </c>
      <c r="BW69" s="488" t="e">
        <f>+'wgl tot'!BU69+'wgl tot'!BV69</f>
        <v>#DIV/0!</v>
      </c>
      <c r="BX69" s="489">
        <f t="shared" si="23"/>
        <v>1900</v>
      </c>
      <c r="BY69" s="489">
        <f t="shared" si="24"/>
        <v>1</v>
      </c>
      <c r="BZ69" s="482">
        <f t="shared" si="25"/>
        <v>0</v>
      </c>
      <c r="CA69" s="480">
        <f t="shared" si="14"/>
        <v>22462</v>
      </c>
      <c r="CB69" s="480">
        <f t="shared" ca="1" si="15"/>
        <v>43103.670106134261</v>
      </c>
      <c r="CC69" s="474"/>
      <c r="CD69" s="480"/>
      <c r="CE69" s="474"/>
      <c r="CF69" s="485"/>
      <c r="CG69" s="485"/>
      <c r="CH69" s="485"/>
      <c r="CI69" s="485"/>
      <c r="CJ69" s="485"/>
      <c r="CK69" s="485"/>
    </row>
    <row r="70" spans="2:89" ht="13.5" customHeight="1" x14ac:dyDescent="0.2">
      <c r="B70" s="318"/>
      <c r="C70" s="336"/>
      <c r="D70" s="337"/>
      <c r="E70" s="336"/>
      <c r="F70" s="336"/>
      <c r="G70" s="336"/>
      <c r="H70" s="336"/>
      <c r="I70" s="336"/>
      <c r="J70" s="336"/>
      <c r="K70" s="336"/>
      <c r="L70" s="336"/>
      <c r="M70" s="336"/>
      <c r="N70" s="336"/>
      <c r="O70" s="336"/>
      <c r="P70" s="336"/>
      <c r="Q70" s="516">
        <f>SUM(Q15:Q69)</f>
        <v>9870</v>
      </c>
      <c r="R70" s="336"/>
      <c r="S70" s="336"/>
      <c r="T70" s="336"/>
      <c r="U70" s="336"/>
      <c r="V70" s="336"/>
      <c r="W70" s="336"/>
      <c r="X70" s="336"/>
      <c r="Y70" s="336"/>
      <c r="Z70" s="391"/>
      <c r="AA70" s="338"/>
      <c r="AB70" s="339"/>
      <c r="AC70" s="340"/>
      <c r="AD70" s="336"/>
      <c r="AE70" s="336"/>
      <c r="AF70" s="336"/>
      <c r="AG70" s="336"/>
      <c r="AH70" s="336"/>
      <c r="AI70" s="336"/>
      <c r="AJ70" s="336"/>
      <c r="AK70" s="336"/>
      <c r="AL70" s="336"/>
      <c r="AM70" s="336"/>
      <c r="AN70" s="336"/>
      <c r="AO70" s="336"/>
      <c r="AP70" s="336"/>
      <c r="AQ70" s="341"/>
      <c r="AR70" s="341"/>
      <c r="AS70" s="341"/>
      <c r="AT70" s="341"/>
      <c r="AU70" s="366"/>
      <c r="AV70" s="341"/>
      <c r="AW70" s="516">
        <f>SUM(AW15:AW69)</f>
        <v>16289.899143908</v>
      </c>
      <c r="AX70" s="516">
        <f>SUM(AX15:AX69)</f>
        <v>195478.78972689601</v>
      </c>
      <c r="AY70" s="411"/>
      <c r="AZ70" s="517">
        <f>+'wgl tot'!AW70/'wgl tot'!Q70-1</f>
        <v>0.65044570860263429</v>
      </c>
      <c r="BA70" s="336"/>
      <c r="BB70" s="319"/>
    </row>
    <row r="71" spans="2:89" ht="13.5" customHeight="1" x14ac:dyDescent="0.2">
      <c r="B71" s="318"/>
      <c r="C71" s="336"/>
      <c r="D71" s="337"/>
      <c r="E71" s="336"/>
      <c r="F71" s="336"/>
      <c r="G71" s="336"/>
      <c r="H71" s="336"/>
      <c r="I71" s="336"/>
      <c r="J71" s="336"/>
      <c r="K71" s="336"/>
      <c r="L71" s="336"/>
      <c r="M71" s="336"/>
      <c r="N71" s="336"/>
      <c r="O71" s="336"/>
      <c r="P71" s="336"/>
      <c r="Q71" s="336"/>
      <c r="R71" s="336"/>
      <c r="S71" s="336"/>
      <c r="T71" s="336"/>
      <c r="U71" s="336"/>
      <c r="V71" s="336"/>
      <c r="W71" s="336"/>
      <c r="X71" s="336"/>
      <c r="Y71" s="336"/>
      <c r="Z71" s="391"/>
      <c r="AA71" s="338"/>
      <c r="AB71" s="339"/>
      <c r="AC71" s="340"/>
      <c r="AD71" s="336"/>
      <c r="AE71" s="336"/>
      <c r="AF71" s="336"/>
      <c r="AG71" s="336"/>
      <c r="AH71" s="336"/>
      <c r="AI71" s="336"/>
      <c r="AJ71" s="336"/>
      <c r="AK71" s="336"/>
      <c r="AL71" s="336"/>
      <c r="AM71" s="336"/>
      <c r="AN71" s="336"/>
      <c r="AO71" s="336"/>
      <c r="AP71" s="336"/>
      <c r="AQ71" s="341"/>
      <c r="AR71" s="341"/>
      <c r="AS71" s="341"/>
      <c r="AT71" s="341"/>
      <c r="AU71" s="366"/>
      <c r="AV71" s="341"/>
      <c r="AW71" s="336"/>
      <c r="AX71" s="336"/>
      <c r="AY71" s="336"/>
      <c r="AZ71" s="336"/>
      <c r="BA71" s="336"/>
      <c r="BB71" s="319"/>
    </row>
    <row r="72" spans="2:89" ht="13.5" customHeight="1" x14ac:dyDescent="0.2">
      <c r="B72" s="318"/>
      <c r="C72" s="309"/>
      <c r="D72" s="281"/>
      <c r="E72" s="309"/>
      <c r="F72" s="309"/>
      <c r="G72" s="309"/>
      <c r="H72" s="309"/>
      <c r="I72" s="309"/>
      <c r="J72" s="309"/>
      <c r="K72" s="309"/>
      <c r="L72" s="309"/>
      <c r="M72" s="524"/>
      <c r="N72" s="309"/>
      <c r="O72" s="309"/>
      <c r="P72" s="309"/>
      <c r="Q72" s="309"/>
      <c r="R72" s="309"/>
      <c r="S72" s="309"/>
      <c r="T72" s="309"/>
      <c r="U72" s="309"/>
      <c r="V72" s="309"/>
      <c r="W72" s="309"/>
      <c r="X72" s="309"/>
      <c r="Y72" s="309"/>
      <c r="Z72" s="498"/>
      <c r="AA72" s="319"/>
      <c r="AB72" s="318"/>
      <c r="AC72" s="280"/>
      <c r="AD72" s="309"/>
      <c r="AE72" s="309"/>
      <c r="AF72" s="309"/>
      <c r="AG72" s="309"/>
      <c r="AH72" s="309"/>
      <c r="AI72" s="309"/>
      <c r="AJ72" s="309"/>
      <c r="AK72" s="309"/>
      <c r="AL72" s="309"/>
      <c r="AM72" s="309"/>
      <c r="AN72" s="309"/>
      <c r="AO72" s="309"/>
      <c r="AP72" s="309"/>
      <c r="AQ72" s="320"/>
      <c r="AR72" s="320"/>
      <c r="AS72" s="320"/>
      <c r="AT72" s="320"/>
      <c r="AU72" s="360"/>
      <c r="AV72" s="320"/>
      <c r="AW72" s="309"/>
      <c r="AX72" s="309"/>
      <c r="AY72" s="309"/>
      <c r="AZ72" s="309"/>
      <c r="BA72" s="309"/>
      <c r="BB72" s="319"/>
    </row>
    <row r="73" spans="2:89" ht="13.5" customHeight="1" x14ac:dyDescent="0.2">
      <c r="B73" s="343"/>
      <c r="C73" s="344"/>
      <c r="D73" s="345"/>
      <c r="E73" s="344"/>
      <c r="F73" s="344"/>
      <c r="G73" s="344"/>
      <c r="H73" s="344"/>
      <c r="I73" s="344"/>
      <c r="J73" s="344"/>
      <c r="K73" s="344"/>
      <c r="L73" s="344"/>
      <c r="M73" s="344"/>
      <c r="N73" s="344"/>
      <c r="O73" s="344"/>
      <c r="P73" s="344"/>
      <c r="Q73" s="344"/>
      <c r="R73" s="344"/>
      <c r="S73" s="344"/>
      <c r="T73" s="344"/>
      <c r="U73" s="344"/>
      <c r="V73" s="344"/>
      <c r="W73" s="344"/>
      <c r="X73" s="344"/>
      <c r="Y73" s="344"/>
      <c r="Z73" s="512"/>
      <c r="AA73" s="346"/>
      <c r="AB73" s="343"/>
      <c r="AC73" s="347"/>
      <c r="AD73" s="344"/>
      <c r="AE73" s="344"/>
      <c r="AF73" s="344"/>
      <c r="AG73" s="344"/>
      <c r="AH73" s="344"/>
      <c r="AI73" s="344"/>
      <c r="AJ73" s="344"/>
      <c r="AK73" s="344"/>
      <c r="AL73" s="344"/>
      <c r="AM73" s="344"/>
      <c r="AN73" s="344"/>
      <c r="AO73" s="344"/>
      <c r="AP73" s="344"/>
      <c r="AQ73" s="348"/>
      <c r="AR73" s="348"/>
      <c r="AS73" s="348"/>
      <c r="AT73" s="348"/>
      <c r="AU73" s="367"/>
      <c r="AV73" s="348"/>
      <c r="AW73" s="344"/>
      <c r="AX73" s="344"/>
      <c r="AY73" s="344"/>
      <c r="AZ73" s="344"/>
      <c r="BA73" s="344"/>
      <c r="BB73" s="346"/>
    </row>
    <row r="74" spans="2:89" s="466" customFormat="1" ht="13.5" customHeight="1" x14ac:dyDescent="0.2">
      <c r="D74" s="470"/>
      <c r="Z74" s="507"/>
      <c r="AC74" s="471"/>
      <c r="AQ74" s="472"/>
      <c r="AR74" s="472"/>
      <c r="AS74" s="472"/>
      <c r="AT74" s="472"/>
      <c r="AU74" s="473"/>
      <c r="AV74" s="472"/>
      <c r="BE74" s="474"/>
      <c r="BF74" s="474"/>
      <c r="BG74" s="474"/>
      <c r="BH74" s="474"/>
      <c r="BI74" s="474"/>
      <c r="BJ74" s="474"/>
      <c r="BK74" s="474"/>
      <c r="BL74" s="474"/>
      <c r="BM74" s="474"/>
      <c r="BN74" s="474"/>
      <c r="BO74" s="474"/>
      <c r="BP74" s="474"/>
      <c r="BQ74" s="474"/>
      <c r="BR74" s="474"/>
      <c r="BS74" s="474"/>
      <c r="BT74" s="474"/>
      <c r="BU74" s="474"/>
      <c r="BV74" s="474"/>
      <c r="BW74" s="474"/>
      <c r="BX74" s="474"/>
      <c r="BY74" s="474"/>
      <c r="BZ74" s="474"/>
      <c r="CA74" s="474"/>
      <c r="CB74" s="474"/>
      <c r="CC74" s="475"/>
      <c r="CD74" s="475"/>
      <c r="CE74" s="475"/>
      <c r="CF74" s="474"/>
      <c r="CG74" s="474"/>
      <c r="CH74" s="474"/>
      <c r="CI74" s="474"/>
      <c r="CJ74" s="474"/>
      <c r="CK74" s="474"/>
    </row>
    <row r="75" spans="2:89" s="466" customFormat="1" ht="13.5" customHeight="1" x14ac:dyDescent="0.2">
      <c r="D75" s="470"/>
      <c r="Z75" s="507"/>
      <c r="AC75" s="471"/>
      <c r="AQ75" s="472"/>
      <c r="AR75" s="472"/>
      <c r="AS75" s="472"/>
      <c r="AT75" s="472"/>
      <c r="AU75" s="473"/>
      <c r="AV75" s="472"/>
      <c r="BE75" s="474"/>
      <c r="BF75" s="474"/>
      <c r="BG75" s="474"/>
      <c r="BH75" s="474"/>
      <c r="BI75" s="474"/>
      <c r="BJ75" s="474"/>
      <c r="BK75" s="474"/>
      <c r="BL75" s="474"/>
      <c r="BM75" s="474"/>
      <c r="BN75" s="474"/>
      <c r="BO75" s="474"/>
      <c r="BP75" s="474"/>
      <c r="BQ75" s="474"/>
      <c r="BR75" s="474"/>
      <c r="BS75" s="474"/>
      <c r="BT75" s="474"/>
      <c r="BU75" s="474"/>
      <c r="BV75" s="474"/>
      <c r="BW75" s="474"/>
      <c r="BX75" s="474"/>
      <c r="BY75" s="474"/>
      <c r="BZ75" s="474"/>
      <c r="CA75" s="474"/>
      <c r="CB75" s="474"/>
      <c r="CC75" s="475"/>
      <c r="CD75" s="475"/>
      <c r="CE75" s="475"/>
      <c r="CF75" s="474"/>
      <c r="CG75" s="474"/>
      <c r="CH75" s="474"/>
      <c r="CI75" s="474"/>
      <c r="CJ75" s="474"/>
      <c r="CK75" s="474"/>
    </row>
    <row r="76" spans="2:89" s="469" customFormat="1" ht="13.5" customHeight="1" x14ac:dyDescent="0.2">
      <c r="C76" s="520" t="s">
        <v>11</v>
      </c>
      <c r="D76" s="490"/>
      <c r="U76" s="466"/>
      <c r="Z76" s="513"/>
      <c r="AC76" s="491"/>
      <c r="AO76" s="466"/>
      <c r="AP76" s="466"/>
      <c r="AQ76" s="472"/>
      <c r="AR76" s="472"/>
      <c r="AS76" s="472"/>
      <c r="AT76" s="472"/>
      <c r="AU76" s="473"/>
      <c r="AV76" s="472"/>
      <c r="BE76" s="474"/>
      <c r="BF76" s="474"/>
      <c r="BG76" s="474"/>
      <c r="BH76" s="474"/>
      <c r="BI76" s="474"/>
      <c r="BJ76" s="474"/>
      <c r="BK76" s="474"/>
      <c r="BL76" s="474"/>
      <c r="BM76" s="474"/>
      <c r="BN76" s="474"/>
      <c r="BO76" s="474"/>
      <c r="BP76" s="474"/>
      <c r="BQ76" s="474"/>
      <c r="BR76" s="474"/>
      <c r="BS76" s="474"/>
      <c r="BT76" s="474"/>
      <c r="BU76" s="474"/>
      <c r="BV76" s="474"/>
      <c r="BW76" s="474"/>
      <c r="BX76" s="474"/>
      <c r="BY76" s="474"/>
      <c r="BZ76" s="474"/>
      <c r="CA76" s="474"/>
      <c r="CB76" s="474"/>
      <c r="CC76" s="475"/>
      <c r="CD76" s="475"/>
      <c r="CE76" s="475"/>
      <c r="CF76" s="474"/>
      <c r="CG76" s="474"/>
      <c r="CH76" s="474"/>
      <c r="CI76" s="474"/>
      <c r="CJ76" s="474"/>
      <c r="CK76" s="474"/>
    </row>
    <row r="77" spans="2:89" s="469" customFormat="1" ht="13.5" customHeight="1" x14ac:dyDescent="0.2">
      <c r="C77" s="520" t="s">
        <v>12</v>
      </c>
      <c r="D77" s="490"/>
      <c r="U77" s="466"/>
      <c r="Z77" s="513"/>
      <c r="AC77" s="491"/>
      <c r="AO77" s="466"/>
      <c r="AP77" s="466"/>
      <c r="AQ77" s="472"/>
      <c r="AR77" s="472"/>
      <c r="AS77" s="472"/>
      <c r="AT77" s="472"/>
      <c r="AU77" s="473"/>
      <c r="AV77" s="472"/>
      <c r="BE77" s="474"/>
      <c r="BF77" s="474"/>
      <c r="BG77" s="474"/>
      <c r="BH77" s="474"/>
      <c r="BI77" s="474"/>
      <c r="BJ77" s="474"/>
      <c r="BK77" s="474"/>
      <c r="BL77" s="474"/>
      <c r="BM77" s="474"/>
      <c r="BN77" s="474"/>
      <c r="BO77" s="474"/>
      <c r="BP77" s="474"/>
      <c r="BQ77" s="474"/>
      <c r="BR77" s="474"/>
      <c r="BS77" s="474"/>
      <c r="BT77" s="474"/>
      <c r="BU77" s="474"/>
      <c r="BV77" s="474"/>
      <c r="BW77" s="474"/>
      <c r="BX77" s="474"/>
      <c r="BY77" s="474"/>
      <c r="BZ77" s="474"/>
      <c r="CA77" s="474"/>
      <c r="CB77" s="474"/>
      <c r="CC77" s="475"/>
      <c r="CD77" s="475"/>
      <c r="CE77" s="475"/>
      <c r="CF77" s="474"/>
      <c r="CG77" s="474"/>
      <c r="CH77" s="474"/>
      <c r="CI77" s="474"/>
      <c r="CJ77" s="474"/>
      <c r="CK77" s="474"/>
    </row>
    <row r="78" spans="2:89" s="469" customFormat="1" ht="13.5" customHeight="1" x14ac:dyDescent="0.2">
      <c r="C78" s="520" t="s">
        <v>13</v>
      </c>
      <c r="D78" s="490"/>
      <c r="U78" s="466"/>
      <c r="Z78" s="513"/>
      <c r="AC78" s="491"/>
      <c r="AO78" s="466"/>
      <c r="AP78" s="466"/>
      <c r="AQ78" s="472"/>
      <c r="AR78" s="472"/>
      <c r="AS78" s="472"/>
      <c r="AT78" s="472"/>
      <c r="AU78" s="473"/>
      <c r="AV78" s="472"/>
      <c r="BE78" s="474"/>
      <c r="BF78" s="474"/>
      <c r="BG78" s="474"/>
      <c r="BH78" s="474"/>
      <c r="BI78" s="474"/>
      <c r="BJ78" s="474"/>
      <c r="BK78" s="474"/>
      <c r="BL78" s="474"/>
      <c r="BM78" s="474"/>
      <c r="BN78" s="474"/>
      <c r="BO78" s="474"/>
      <c r="BP78" s="474"/>
      <c r="BQ78" s="474"/>
      <c r="BR78" s="474"/>
      <c r="BS78" s="474"/>
      <c r="BT78" s="474"/>
      <c r="BU78" s="474"/>
      <c r="BV78" s="474"/>
      <c r="BW78" s="474"/>
      <c r="BX78" s="474"/>
      <c r="BY78" s="474"/>
      <c r="BZ78" s="474"/>
      <c r="CA78" s="474"/>
      <c r="CB78" s="474"/>
      <c r="CC78" s="475"/>
      <c r="CD78" s="475"/>
      <c r="CE78" s="475"/>
      <c r="CF78" s="474"/>
      <c r="CG78" s="474"/>
      <c r="CH78" s="474"/>
      <c r="CI78" s="474"/>
      <c r="CJ78" s="474"/>
      <c r="CK78" s="474"/>
    </row>
    <row r="79" spans="2:89" s="469" customFormat="1" ht="13.5" customHeight="1" x14ac:dyDescent="0.2">
      <c r="C79" s="520" t="s">
        <v>14</v>
      </c>
      <c r="D79" s="490"/>
      <c r="U79" s="466"/>
      <c r="Z79" s="513"/>
      <c r="AC79" s="491"/>
      <c r="AO79" s="466"/>
      <c r="AP79" s="466"/>
      <c r="AQ79" s="472"/>
      <c r="AR79" s="472"/>
      <c r="AS79" s="472"/>
      <c r="AT79" s="472"/>
      <c r="AU79" s="473"/>
      <c r="AV79" s="472"/>
      <c r="BE79" s="474"/>
      <c r="BF79" s="474"/>
      <c r="BG79" s="474"/>
      <c r="BH79" s="474"/>
      <c r="BI79" s="474"/>
      <c r="BJ79" s="474"/>
      <c r="BK79" s="474"/>
      <c r="BL79" s="474"/>
      <c r="BM79" s="474"/>
      <c r="BN79" s="474"/>
      <c r="BO79" s="474"/>
      <c r="BP79" s="474"/>
      <c r="BQ79" s="474"/>
      <c r="BR79" s="474"/>
      <c r="BS79" s="474"/>
      <c r="BT79" s="474"/>
      <c r="BU79" s="474"/>
      <c r="BV79" s="474"/>
      <c r="BW79" s="474"/>
      <c r="BX79" s="474"/>
      <c r="BY79" s="474"/>
      <c r="BZ79" s="474"/>
      <c r="CA79" s="474"/>
      <c r="CB79" s="474"/>
      <c r="CC79" s="475"/>
      <c r="CD79" s="475"/>
      <c r="CE79" s="475"/>
      <c r="CF79" s="474"/>
      <c r="CG79" s="474"/>
      <c r="CH79" s="474"/>
      <c r="CI79" s="474"/>
      <c r="CJ79" s="474"/>
      <c r="CK79" s="474"/>
    </row>
    <row r="80" spans="2:89" s="469" customFormat="1" ht="13.5" customHeight="1" x14ac:dyDescent="0.2">
      <c r="C80" s="520" t="s">
        <v>3</v>
      </c>
      <c r="D80" s="490"/>
      <c r="U80" s="466"/>
      <c r="Z80" s="513"/>
      <c r="AC80" s="491"/>
      <c r="AO80" s="466"/>
      <c r="AP80" s="466"/>
      <c r="AQ80" s="472"/>
      <c r="AR80" s="472"/>
      <c r="AS80" s="472"/>
      <c r="AT80" s="472"/>
      <c r="AU80" s="473"/>
      <c r="AV80" s="472"/>
      <c r="BE80" s="474"/>
      <c r="BF80" s="474"/>
      <c r="BG80" s="474"/>
      <c r="BH80" s="474"/>
      <c r="BI80" s="474"/>
      <c r="BJ80" s="474"/>
      <c r="BK80" s="474"/>
      <c r="BL80" s="474"/>
      <c r="BM80" s="474"/>
      <c r="BN80" s="474"/>
      <c r="BO80" s="474"/>
      <c r="BP80" s="474"/>
      <c r="BQ80" s="474"/>
      <c r="BR80" s="474"/>
      <c r="BS80" s="474"/>
      <c r="BT80" s="474"/>
      <c r="BU80" s="474"/>
      <c r="BV80" s="474"/>
      <c r="BW80" s="474"/>
      <c r="BX80" s="474"/>
      <c r="BY80" s="474"/>
      <c r="BZ80" s="474"/>
      <c r="CA80" s="474"/>
      <c r="CB80" s="474"/>
      <c r="CC80" s="475"/>
      <c r="CD80" s="475"/>
      <c r="CE80" s="475"/>
      <c r="CF80" s="474"/>
      <c r="CG80" s="474"/>
      <c r="CH80" s="474"/>
      <c r="CI80" s="474"/>
      <c r="CJ80" s="474"/>
      <c r="CK80" s="474"/>
    </row>
    <row r="81" spans="3:89" s="469" customFormat="1" ht="13.5" customHeight="1" x14ac:dyDescent="0.2">
      <c r="C81" s="520" t="s">
        <v>4</v>
      </c>
      <c r="D81" s="490"/>
      <c r="U81" s="466"/>
      <c r="Z81" s="513"/>
      <c r="AC81" s="491"/>
      <c r="AO81" s="466"/>
      <c r="AP81" s="466"/>
      <c r="AQ81" s="472"/>
      <c r="AR81" s="472"/>
      <c r="AS81" s="472"/>
      <c r="AT81" s="472"/>
      <c r="AU81" s="473"/>
      <c r="AV81" s="472"/>
      <c r="BE81" s="474"/>
      <c r="BF81" s="474"/>
      <c r="BG81" s="474"/>
      <c r="BH81" s="474"/>
      <c r="BI81" s="474"/>
      <c r="BJ81" s="474"/>
      <c r="BK81" s="474"/>
      <c r="BL81" s="474"/>
      <c r="BM81" s="474"/>
      <c r="BN81" s="474"/>
      <c r="BO81" s="474"/>
      <c r="BP81" s="474"/>
      <c r="BQ81" s="474"/>
      <c r="BR81" s="474"/>
      <c r="BS81" s="474"/>
      <c r="BT81" s="474"/>
      <c r="BU81" s="474"/>
      <c r="BV81" s="474"/>
      <c r="BW81" s="474"/>
      <c r="BX81" s="474"/>
      <c r="BY81" s="474"/>
      <c r="BZ81" s="474"/>
      <c r="CA81" s="474"/>
      <c r="CB81" s="474"/>
      <c r="CC81" s="475"/>
      <c r="CD81" s="475"/>
      <c r="CE81" s="475"/>
      <c r="CF81" s="474"/>
      <c r="CG81" s="474"/>
      <c r="CH81" s="474"/>
      <c r="CI81" s="474"/>
      <c r="CJ81" s="474"/>
      <c r="CK81" s="474"/>
    </row>
    <row r="82" spans="3:89" s="469" customFormat="1" ht="13.5" customHeight="1" x14ac:dyDescent="0.2">
      <c r="C82" s="520" t="s">
        <v>5</v>
      </c>
      <c r="D82" s="490"/>
      <c r="U82" s="466"/>
      <c r="Z82" s="513"/>
      <c r="AC82" s="491"/>
      <c r="AO82" s="466"/>
      <c r="AP82" s="466"/>
      <c r="AQ82" s="472"/>
      <c r="AR82" s="472"/>
      <c r="AS82" s="472"/>
      <c r="AT82" s="472"/>
      <c r="AU82" s="473"/>
      <c r="AV82" s="472"/>
      <c r="BE82" s="474"/>
      <c r="BF82" s="474"/>
      <c r="BG82" s="474"/>
      <c r="BH82" s="474"/>
      <c r="BI82" s="474"/>
      <c r="BJ82" s="474"/>
      <c r="BK82" s="474"/>
      <c r="BL82" s="474"/>
      <c r="BM82" s="474"/>
      <c r="BN82" s="474"/>
      <c r="BO82" s="474"/>
      <c r="BP82" s="474"/>
      <c r="BQ82" s="474"/>
      <c r="BR82" s="474"/>
      <c r="BS82" s="474"/>
      <c r="BT82" s="474"/>
      <c r="BU82" s="474"/>
      <c r="BV82" s="474"/>
      <c r="BW82" s="474"/>
      <c r="BX82" s="474"/>
      <c r="BY82" s="474"/>
      <c r="BZ82" s="474"/>
      <c r="CA82" s="474"/>
      <c r="CB82" s="474"/>
      <c r="CC82" s="475"/>
      <c r="CD82" s="475"/>
      <c r="CE82" s="475"/>
      <c r="CF82" s="474"/>
      <c r="CG82" s="474"/>
      <c r="CH82" s="474"/>
      <c r="CI82" s="474"/>
      <c r="CJ82" s="474"/>
      <c r="CK82" s="474"/>
    </row>
    <row r="83" spans="3:89" s="469" customFormat="1" ht="13.5" customHeight="1" x14ac:dyDescent="0.2">
      <c r="C83" s="520" t="s">
        <v>6</v>
      </c>
      <c r="D83" s="490"/>
      <c r="U83" s="466"/>
      <c r="Z83" s="513"/>
      <c r="AC83" s="491"/>
      <c r="AO83" s="466"/>
      <c r="AP83" s="466"/>
      <c r="AQ83" s="472"/>
      <c r="AR83" s="472"/>
      <c r="AS83" s="472"/>
      <c r="AT83" s="472"/>
      <c r="AU83" s="473"/>
      <c r="AV83" s="472"/>
      <c r="BE83" s="474"/>
      <c r="BF83" s="474"/>
      <c r="BG83" s="474"/>
      <c r="BH83" s="474"/>
      <c r="BI83" s="474"/>
      <c r="BJ83" s="474"/>
      <c r="BK83" s="474"/>
      <c r="BL83" s="474"/>
      <c r="BM83" s="474"/>
      <c r="BN83" s="474"/>
      <c r="BO83" s="474"/>
      <c r="BP83" s="474"/>
      <c r="BQ83" s="474"/>
      <c r="BR83" s="474"/>
      <c r="BS83" s="474"/>
      <c r="BT83" s="474"/>
      <c r="BU83" s="474"/>
      <c r="BV83" s="474"/>
      <c r="BW83" s="474"/>
      <c r="BX83" s="474"/>
      <c r="BY83" s="474"/>
      <c r="BZ83" s="474"/>
      <c r="CA83" s="474"/>
      <c r="CB83" s="474"/>
      <c r="CC83" s="475"/>
      <c r="CD83" s="475"/>
      <c r="CE83" s="475"/>
      <c r="CF83" s="474"/>
      <c r="CG83" s="474"/>
      <c r="CH83" s="474"/>
      <c r="CI83" s="474"/>
      <c r="CJ83" s="474"/>
      <c r="CK83" s="474"/>
    </row>
    <row r="84" spans="3:89" s="469" customFormat="1" ht="13.5" customHeight="1" x14ac:dyDescent="0.2">
      <c r="C84" s="520" t="s">
        <v>7</v>
      </c>
      <c r="D84" s="490"/>
      <c r="U84" s="466"/>
      <c r="Z84" s="513"/>
      <c r="AC84" s="491"/>
      <c r="AO84" s="466"/>
      <c r="AP84" s="466"/>
      <c r="AQ84" s="472"/>
      <c r="AR84" s="472"/>
      <c r="AS84" s="472"/>
      <c r="AT84" s="472"/>
      <c r="AU84" s="473"/>
      <c r="AV84" s="472"/>
      <c r="BE84" s="474"/>
      <c r="BF84" s="474"/>
      <c r="BG84" s="474"/>
      <c r="BH84" s="474"/>
      <c r="BI84" s="474"/>
      <c r="BJ84" s="474"/>
      <c r="BK84" s="474"/>
      <c r="BL84" s="474"/>
      <c r="BM84" s="474"/>
      <c r="BN84" s="474"/>
      <c r="BO84" s="474"/>
      <c r="BP84" s="474"/>
      <c r="BQ84" s="474"/>
      <c r="BR84" s="474"/>
      <c r="BS84" s="474"/>
      <c r="BT84" s="474"/>
      <c r="BU84" s="474"/>
      <c r="BV84" s="474"/>
      <c r="BW84" s="474"/>
      <c r="BX84" s="474"/>
      <c r="BY84" s="474"/>
      <c r="BZ84" s="474"/>
      <c r="CA84" s="474"/>
      <c r="CB84" s="474"/>
      <c r="CC84" s="475"/>
      <c r="CD84" s="475"/>
      <c r="CE84" s="475"/>
      <c r="CF84" s="474"/>
      <c r="CG84" s="474"/>
      <c r="CH84" s="474"/>
      <c r="CI84" s="474"/>
      <c r="CJ84" s="474"/>
      <c r="CK84" s="474"/>
    </row>
    <row r="85" spans="3:89" s="469" customFormat="1" ht="13.5" customHeight="1" x14ac:dyDescent="0.2">
      <c r="C85" s="520" t="s">
        <v>8</v>
      </c>
      <c r="D85" s="490"/>
      <c r="U85" s="466"/>
      <c r="Z85" s="513"/>
      <c r="AC85" s="491"/>
      <c r="AO85" s="466"/>
      <c r="AP85" s="466"/>
      <c r="AQ85" s="472"/>
      <c r="AR85" s="472"/>
      <c r="AS85" s="472"/>
      <c r="AT85" s="472"/>
      <c r="AU85" s="473"/>
      <c r="AV85" s="472"/>
      <c r="BE85" s="474"/>
      <c r="BF85" s="474"/>
      <c r="BG85" s="474"/>
      <c r="BH85" s="474"/>
      <c r="BI85" s="474"/>
      <c r="BJ85" s="474"/>
      <c r="BK85" s="474"/>
      <c r="BL85" s="474"/>
      <c r="BM85" s="474"/>
      <c r="BN85" s="474"/>
      <c r="BO85" s="474"/>
      <c r="BP85" s="474"/>
      <c r="BQ85" s="474"/>
      <c r="BR85" s="474"/>
      <c r="BS85" s="474"/>
      <c r="BT85" s="474"/>
      <c r="BU85" s="474"/>
      <c r="BV85" s="474"/>
      <c r="BW85" s="474"/>
      <c r="BX85" s="474"/>
      <c r="BY85" s="474"/>
      <c r="BZ85" s="474"/>
      <c r="CA85" s="474"/>
      <c r="CB85" s="474"/>
      <c r="CC85" s="475"/>
      <c r="CD85" s="475"/>
      <c r="CE85" s="475"/>
      <c r="CF85" s="474"/>
      <c r="CG85" s="474"/>
      <c r="CH85" s="474"/>
      <c r="CI85" s="474"/>
      <c r="CJ85" s="474"/>
      <c r="CK85" s="474"/>
    </row>
    <row r="86" spans="3:89" s="469" customFormat="1" ht="13.5" customHeight="1" x14ac:dyDescent="0.2">
      <c r="C86" s="520" t="s">
        <v>9</v>
      </c>
      <c r="D86" s="490"/>
      <c r="U86" s="466"/>
      <c r="Z86" s="513"/>
      <c r="AC86" s="491"/>
      <c r="AO86" s="466"/>
      <c r="AP86" s="466"/>
      <c r="AQ86" s="472"/>
      <c r="AR86" s="472"/>
      <c r="AS86" s="472"/>
      <c r="AT86" s="472"/>
      <c r="AU86" s="473"/>
      <c r="AV86" s="472"/>
      <c r="BE86" s="474"/>
      <c r="BF86" s="474"/>
      <c r="BG86" s="474"/>
      <c r="BH86" s="474"/>
      <c r="BI86" s="474"/>
      <c r="BJ86" s="474"/>
      <c r="BK86" s="474"/>
      <c r="BL86" s="474"/>
      <c r="BM86" s="474"/>
      <c r="BN86" s="474"/>
      <c r="BO86" s="474"/>
      <c r="BP86" s="474"/>
      <c r="BQ86" s="474"/>
      <c r="BR86" s="474"/>
      <c r="BS86" s="474"/>
      <c r="BT86" s="474"/>
      <c r="BU86" s="474"/>
      <c r="BV86" s="474"/>
      <c r="BW86" s="474"/>
      <c r="BX86" s="474"/>
      <c r="BY86" s="474"/>
      <c r="BZ86" s="474"/>
      <c r="CA86" s="474"/>
      <c r="CB86" s="474"/>
      <c r="CC86" s="475"/>
      <c r="CD86" s="475"/>
      <c r="CE86" s="475"/>
      <c r="CF86" s="474"/>
      <c r="CG86" s="474"/>
      <c r="CH86" s="474"/>
      <c r="CI86" s="474"/>
      <c r="CJ86" s="474"/>
      <c r="CK86" s="474"/>
    </row>
    <row r="87" spans="3:89" s="469" customFormat="1" ht="13.5" customHeight="1" x14ac:dyDescent="0.2">
      <c r="C87" s="521" t="s">
        <v>87</v>
      </c>
      <c r="D87" s="490"/>
      <c r="U87" s="466"/>
      <c r="Z87" s="513"/>
      <c r="AC87" s="491"/>
      <c r="AO87" s="466"/>
      <c r="AP87" s="466"/>
      <c r="AQ87" s="472"/>
      <c r="AR87" s="472"/>
      <c r="AS87" s="472"/>
      <c r="AT87" s="472"/>
      <c r="AU87" s="473"/>
      <c r="AV87" s="472"/>
      <c r="BE87" s="474"/>
      <c r="BF87" s="474"/>
      <c r="BG87" s="474"/>
      <c r="BH87" s="474"/>
      <c r="BI87" s="474"/>
      <c r="BJ87" s="474"/>
      <c r="BK87" s="474"/>
      <c r="BL87" s="474"/>
      <c r="BM87" s="474"/>
      <c r="BN87" s="474"/>
      <c r="BO87" s="474"/>
      <c r="BP87" s="474"/>
      <c r="BQ87" s="474"/>
      <c r="BR87" s="474"/>
      <c r="BS87" s="474"/>
      <c r="BT87" s="474"/>
      <c r="BU87" s="474"/>
      <c r="BV87" s="474"/>
      <c r="BW87" s="474"/>
      <c r="BX87" s="474"/>
      <c r="BY87" s="474"/>
      <c r="BZ87" s="474"/>
      <c r="CA87" s="474"/>
      <c r="CB87" s="474"/>
      <c r="CC87" s="475"/>
      <c r="CD87" s="475"/>
      <c r="CE87" s="475"/>
      <c r="CF87" s="474"/>
      <c r="CG87" s="474"/>
      <c r="CH87" s="474"/>
      <c r="CI87" s="474"/>
      <c r="CJ87" s="474"/>
      <c r="CK87" s="474"/>
    </row>
    <row r="88" spans="3:89" s="469" customFormat="1" ht="13.5" customHeight="1" x14ac:dyDescent="0.2">
      <c r="C88" s="521" t="s">
        <v>88</v>
      </c>
      <c r="D88" s="490"/>
      <c r="U88" s="466"/>
      <c r="Z88" s="513"/>
      <c r="AC88" s="491"/>
      <c r="AO88" s="466"/>
      <c r="AP88" s="466"/>
      <c r="AQ88" s="472"/>
      <c r="AR88" s="472"/>
      <c r="AS88" s="472"/>
      <c r="AT88" s="472"/>
      <c r="AU88" s="473"/>
      <c r="AV88" s="472"/>
      <c r="BE88" s="474"/>
      <c r="BF88" s="474"/>
      <c r="BG88" s="474"/>
      <c r="BH88" s="474"/>
      <c r="BI88" s="474"/>
      <c r="BJ88" s="474"/>
      <c r="BK88" s="474"/>
      <c r="BL88" s="474"/>
      <c r="BM88" s="474"/>
      <c r="BN88" s="474"/>
      <c r="BO88" s="474"/>
      <c r="BP88" s="474"/>
      <c r="BQ88" s="474"/>
      <c r="BR88" s="474"/>
      <c r="BS88" s="474"/>
      <c r="BT88" s="474"/>
      <c r="BU88" s="474"/>
      <c r="BV88" s="474"/>
      <c r="BW88" s="474"/>
      <c r="BX88" s="474"/>
      <c r="BY88" s="474"/>
      <c r="BZ88" s="474"/>
      <c r="CA88" s="474"/>
      <c r="CB88" s="474"/>
      <c r="CC88" s="475"/>
      <c r="CD88" s="475"/>
      <c r="CE88" s="475"/>
      <c r="CF88" s="474"/>
      <c r="CG88" s="474"/>
      <c r="CH88" s="474"/>
      <c r="CI88" s="474"/>
      <c r="CJ88" s="474"/>
      <c r="CK88" s="474"/>
    </row>
    <row r="89" spans="3:89" s="469" customFormat="1" ht="13.5" customHeight="1" x14ac:dyDescent="0.2">
      <c r="C89" s="521" t="s">
        <v>89</v>
      </c>
      <c r="D89" s="490"/>
      <c r="U89" s="466"/>
      <c r="Z89" s="513"/>
      <c r="AC89" s="491"/>
      <c r="AO89" s="466"/>
      <c r="AP89" s="466"/>
      <c r="AQ89" s="472"/>
      <c r="AR89" s="472"/>
      <c r="AS89" s="472"/>
      <c r="AT89" s="472"/>
      <c r="AU89" s="473"/>
      <c r="AV89" s="472"/>
      <c r="BE89" s="474"/>
      <c r="BF89" s="474"/>
      <c r="BG89" s="474"/>
      <c r="BH89" s="474"/>
      <c r="BI89" s="474"/>
      <c r="BJ89" s="474"/>
      <c r="BK89" s="474"/>
      <c r="BL89" s="474"/>
      <c r="BM89" s="474"/>
      <c r="BN89" s="474"/>
      <c r="BO89" s="474"/>
      <c r="BP89" s="474"/>
      <c r="BQ89" s="474"/>
      <c r="BR89" s="474"/>
      <c r="BS89" s="474"/>
      <c r="BT89" s="474"/>
      <c r="BU89" s="474"/>
      <c r="BV89" s="474"/>
      <c r="BW89" s="474"/>
      <c r="BX89" s="474"/>
      <c r="BY89" s="474"/>
      <c r="BZ89" s="474"/>
      <c r="CA89" s="474"/>
      <c r="CB89" s="474"/>
      <c r="CC89" s="475"/>
      <c r="CD89" s="475"/>
      <c r="CE89" s="475"/>
      <c r="CF89" s="474"/>
      <c r="CG89" s="474"/>
      <c r="CH89" s="474"/>
      <c r="CI89" s="474"/>
      <c r="CJ89" s="474"/>
      <c r="CK89" s="474"/>
    </row>
    <row r="90" spans="3:89" s="469" customFormat="1" ht="13.5" customHeight="1" x14ac:dyDescent="0.2">
      <c r="C90" s="520" t="s">
        <v>0</v>
      </c>
      <c r="D90" s="490"/>
      <c r="U90" s="466"/>
      <c r="Z90" s="513"/>
      <c r="AC90" s="491"/>
      <c r="AO90" s="466"/>
      <c r="AP90" s="466"/>
      <c r="AQ90" s="472"/>
      <c r="AR90" s="472"/>
      <c r="AS90" s="472"/>
      <c r="AT90" s="472"/>
      <c r="AU90" s="473"/>
      <c r="AV90" s="472"/>
      <c r="BE90" s="474"/>
      <c r="BF90" s="474"/>
      <c r="BG90" s="474"/>
      <c r="BH90" s="474"/>
      <c r="BI90" s="474"/>
      <c r="BJ90" s="474"/>
      <c r="BK90" s="474"/>
      <c r="BL90" s="474"/>
      <c r="BM90" s="474"/>
      <c r="BN90" s="474"/>
      <c r="BO90" s="474"/>
      <c r="BP90" s="474"/>
      <c r="BQ90" s="474"/>
      <c r="BR90" s="474"/>
      <c r="BS90" s="474"/>
      <c r="BT90" s="474"/>
      <c r="BU90" s="474"/>
      <c r="BV90" s="474"/>
      <c r="BW90" s="474"/>
      <c r="BX90" s="474"/>
      <c r="BY90" s="474"/>
      <c r="BZ90" s="474"/>
      <c r="CA90" s="474"/>
      <c r="CB90" s="474"/>
      <c r="CC90" s="475"/>
      <c r="CD90" s="475"/>
      <c r="CE90" s="475"/>
      <c r="CF90" s="474"/>
      <c r="CG90" s="474"/>
      <c r="CH90" s="474"/>
      <c r="CI90" s="474"/>
      <c r="CJ90" s="474"/>
      <c r="CK90" s="474"/>
    </row>
    <row r="91" spans="3:89" s="469" customFormat="1" ht="13.5" customHeight="1" x14ac:dyDescent="0.2">
      <c r="C91" s="520" t="s">
        <v>15</v>
      </c>
      <c r="D91" s="490"/>
      <c r="U91" s="466"/>
      <c r="Z91" s="513"/>
      <c r="AC91" s="491"/>
      <c r="AO91" s="466"/>
      <c r="AP91" s="466"/>
      <c r="AQ91" s="472"/>
      <c r="AR91" s="472"/>
      <c r="AS91" s="472"/>
      <c r="AT91" s="472"/>
      <c r="AU91" s="473"/>
      <c r="AV91" s="472"/>
      <c r="BE91" s="474"/>
      <c r="BF91" s="474"/>
      <c r="BG91" s="474"/>
      <c r="BH91" s="474"/>
      <c r="BI91" s="474"/>
      <c r="BJ91" s="474"/>
      <c r="BK91" s="474"/>
      <c r="BL91" s="474"/>
      <c r="BM91" s="474"/>
      <c r="BN91" s="474"/>
      <c r="BO91" s="474"/>
      <c r="BP91" s="474"/>
      <c r="BQ91" s="474"/>
      <c r="BR91" s="474"/>
      <c r="BS91" s="474"/>
      <c r="BT91" s="474"/>
      <c r="BU91" s="474"/>
      <c r="BV91" s="474"/>
      <c r="BW91" s="474"/>
      <c r="BX91" s="474"/>
      <c r="BY91" s="474"/>
      <c r="BZ91" s="474"/>
      <c r="CA91" s="474"/>
      <c r="CB91" s="474"/>
      <c r="CC91" s="475"/>
      <c r="CD91" s="475"/>
      <c r="CE91" s="475"/>
      <c r="CF91" s="474"/>
      <c r="CG91" s="474"/>
      <c r="CH91" s="474"/>
      <c r="CI91" s="474"/>
      <c r="CJ91" s="474"/>
      <c r="CK91" s="474"/>
    </row>
    <row r="92" spans="3:89" s="469" customFormat="1" ht="13.5" customHeight="1" x14ac:dyDescent="0.2">
      <c r="C92" s="520" t="s">
        <v>16</v>
      </c>
      <c r="D92" s="490"/>
      <c r="U92" s="466"/>
      <c r="Z92" s="513"/>
      <c r="AC92" s="491"/>
      <c r="AO92" s="466"/>
      <c r="AP92" s="466"/>
      <c r="AQ92" s="472"/>
      <c r="AR92" s="472"/>
      <c r="AS92" s="472"/>
      <c r="AT92" s="472"/>
      <c r="AU92" s="473"/>
      <c r="AV92" s="472"/>
      <c r="BE92" s="474"/>
      <c r="BF92" s="474"/>
      <c r="BG92" s="474"/>
      <c r="BH92" s="474"/>
      <c r="BI92" s="474"/>
      <c r="BJ92" s="474"/>
      <c r="BK92" s="474"/>
      <c r="BL92" s="474"/>
      <c r="BM92" s="474"/>
      <c r="BN92" s="474"/>
      <c r="BO92" s="474"/>
      <c r="BP92" s="474"/>
      <c r="BQ92" s="474"/>
      <c r="BR92" s="474"/>
      <c r="BS92" s="474"/>
      <c r="BT92" s="474"/>
      <c r="BU92" s="474"/>
      <c r="BV92" s="474"/>
      <c r="BW92" s="474"/>
      <c r="BX92" s="474"/>
      <c r="BY92" s="474"/>
      <c r="BZ92" s="474"/>
      <c r="CA92" s="474"/>
      <c r="CB92" s="474"/>
      <c r="CC92" s="475"/>
      <c r="CD92" s="475"/>
      <c r="CE92" s="475"/>
      <c r="CF92" s="474"/>
      <c r="CG92" s="474"/>
      <c r="CH92" s="474"/>
      <c r="CI92" s="474"/>
      <c r="CJ92" s="474"/>
      <c r="CK92" s="474"/>
    </row>
    <row r="93" spans="3:89" s="469" customFormat="1" ht="13.5" customHeight="1" x14ac:dyDescent="0.2">
      <c r="C93" s="520" t="s">
        <v>17</v>
      </c>
      <c r="D93" s="490"/>
      <c r="U93" s="466"/>
      <c r="Z93" s="513"/>
      <c r="AC93" s="491"/>
      <c r="AO93" s="466"/>
      <c r="AP93" s="466"/>
      <c r="AQ93" s="472"/>
      <c r="AR93" s="472"/>
      <c r="AS93" s="472"/>
      <c r="AT93" s="472"/>
      <c r="AU93" s="473"/>
      <c r="AV93" s="472"/>
      <c r="BE93" s="474"/>
      <c r="BF93" s="474"/>
      <c r="BG93" s="474"/>
      <c r="BH93" s="474"/>
      <c r="BI93" s="474"/>
      <c r="BJ93" s="474"/>
      <c r="BK93" s="474"/>
      <c r="BL93" s="474"/>
      <c r="BM93" s="474"/>
      <c r="BN93" s="474"/>
      <c r="BO93" s="474"/>
      <c r="BP93" s="474"/>
      <c r="BQ93" s="474"/>
      <c r="BR93" s="474"/>
      <c r="BS93" s="474"/>
      <c r="BT93" s="474"/>
      <c r="BU93" s="474"/>
      <c r="BV93" s="474"/>
      <c r="BW93" s="474"/>
      <c r="BX93" s="474"/>
      <c r="BY93" s="474"/>
      <c r="BZ93" s="474"/>
      <c r="CA93" s="474"/>
      <c r="CB93" s="474"/>
      <c r="CC93" s="475"/>
      <c r="CD93" s="475"/>
      <c r="CE93" s="475"/>
      <c r="CF93" s="474"/>
      <c r="CG93" s="474"/>
      <c r="CH93" s="474"/>
      <c r="CI93" s="474"/>
      <c r="CJ93" s="474"/>
      <c r="CK93" s="474"/>
    </row>
    <row r="94" spans="3:89" s="469" customFormat="1" ht="13.5" customHeight="1" x14ac:dyDescent="0.2">
      <c r="C94" s="520" t="s">
        <v>18</v>
      </c>
      <c r="D94" s="490"/>
      <c r="U94" s="466"/>
      <c r="Z94" s="513"/>
      <c r="AC94" s="491"/>
      <c r="AO94" s="466"/>
      <c r="AP94" s="466"/>
      <c r="AQ94" s="472"/>
      <c r="AR94" s="472"/>
      <c r="AS94" s="472"/>
      <c r="AT94" s="472"/>
      <c r="AU94" s="473"/>
      <c r="AV94" s="472"/>
      <c r="BE94" s="474"/>
      <c r="BF94" s="474"/>
      <c r="BG94" s="474"/>
      <c r="BH94" s="474"/>
      <c r="BI94" s="474"/>
      <c r="BJ94" s="474"/>
      <c r="BK94" s="474"/>
      <c r="BL94" s="474"/>
      <c r="BM94" s="474"/>
      <c r="BN94" s="474"/>
      <c r="BO94" s="474"/>
      <c r="BP94" s="474"/>
      <c r="BQ94" s="474"/>
      <c r="BR94" s="474"/>
      <c r="BS94" s="474"/>
      <c r="BT94" s="474"/>
      <c r="BU94" s="474"/>
      <c r="BV94" s="474"/>
      <c r="BW94" s="474"/>
      <c r="BX94" s="474"/>
      <c r="BY94" s="474"/>
      <c r="BZ94" s="474"/>
      <c r="CA94" s="474"/>
      <c r="CB94" s="474"/>
      <c r="CC94" s="475"/>
      <c r="CD94" s="475"/>
      <c r="CE94" s="475"/>
      <c r="CF94" s="474"/>
      <c r="CG94" s="474"/>
      <c r="CH94" s="474"/>
      <c r="CI94" s="474"/>
      <c r="CJ94" s="474"/>
      <c r="CK94" s="474"/>
    </row>
    <row r="95" spans="3:89" s="469" customFormat="1" ht="13.5" customHeight="1" x14ac:dyDescent="0.2">
      <c r="C95" s="521" t="s">
        <v>19</v>
      </c>
      <c r="D95" s="490"/>
      <c r="U95" s="466"/>
      <c r="Z95" s="513"/>
      <c r="AC95" s="491"/>
      <c r="AO95" s="466"/>
      <c r="AP95" s="466"/>
      <c r="AQ95" s="472"/>
      <c r="AR95" s="472"/>
      <c r="AS95" s="472"/>
      <c r="AT95" s="472"/>
      <c r="AU95" s="473"/>
      <c r="AV95" s="472"/>
      <c r="BE95" s="474"/>
      <c r="BF95" s="474"/>
      <c r="BG95" s="474"/>
      <c r="BH95" s="474"/>
      <c r="BI95" s="474"/>
      <c r="BJ95" s="474"/>
      <c r="BK95" s="474"/>
      <c r="BL95" s="474"/>
      <c r="BM95" s="474"/>
      <c r="BN95" s="474"/>
      <c r="BO95" s="474"/>
      <c r="BP95" s="474"/>
      <c r="BQ95" s="474"/>
      <c r="BR95" s="474"/>
      <c r="BS95" s="474"/>
      <c r="BT95" s="474"/>
      <c r="BU95" s="474"/>
      <c r="BV95" s="474"/>
      <c r="BW95" s="474"/>
      <c r="BX95" s="474"/>
      <c r="BY95" s="474"/>
      <c r="BZ95" s="474"/>
      <c r="CA95" s="474"/>
      <c r="CB95" s="474"/>
      <c r="CC95" s="475"/>
      <c r="CD95" s="475"/>
      <c r="CE95" s="475"/>
      <c r="CF95" s="474"/>
      <c r="CG95" s="474"/>
      <c r="CH95" s="474"/>
      <c r="CI95" s="474"/>
      <c r="CJ95" s="474"/>
      <c r="CK95" s="474"/>
    </row>
    <row r="96" spans="3:89" s="469" customFormat="1" ht="13.5" customHeight="1" x14ac:dyDescent="0.2">
      <c r="C96" s="521" t="s">
        <v>20</v>
      </c>
      <c r="D96" s="490"/>
      <c r="U96" s="466"/>
      <c r="Z96" s="513"/>
      <c r="AC96" s="491"/>
      <c r="AO96" s="466"/>
      <c r="AP96" s="466"/>
      <c r="AQ96" s="472"/>
      <c r="AR96" s="472"/>
      <c r="AS96" s="472"/>
      <c r="AT96" s="472"/>
      <c r="AU96" s="473"/>
      <c r="AV96" s="472"/>
      <c r="BE96" s="474"/>
      <c r="BF96" s="474"/>
      <c r="BG96" s="474"/>
      <c r="BH96" s="474"/>
      <c r="BI96" s="474"/>
      <c r="BJ96" s="474"/>
      <c r="BK96" s="474"/>
      <c r="BL96" s="474"/>
      <c r="BM96" s="474"/>
      <c r="BN96" s="474"/>
      <c r="BO96" s="474"/>
      <c r="BP96" s="474"/>
      <c r="BQ96" s="474"/>
      <c r="BR96" s="474"/>
      <c r="BS96" s="474"/>
      <c r="BT96" s="474"/>
      <c r="BU96" s="474"/>
      <c r="BV96" s="474"/>
      <c r="BW96" s="474"/>
      <c r="BX96" s="474"/>
      <c r="BY96" s="474"/>
      <c r="BZ96" s="474"/>
      <c r="CA96" s="474"/>
      <c r="CB96" s="474"/>
      <c r="CC96" s="475"/>
      <c r="CD96" s="475"/>
      <c r="CE96" s="475"/>
      <c r="CF96" s="474"/>
      <c r="CG96" s="474"/>
      <c r="CH96" s="474"/>
      <c r="CI96" s="474"/>
      <c r="CJ96" s="474"/>
      <c r="CK96" s="474"/>
    </row>
    <row r="97" spans="3:89" s="469" customFormat="1" ht="13.5" customHeight="1" x14ac:dyDescent="0.2">
      <c r="C97" s="521" t="s">
        <v>86</v>
      </c>
      <c r="D97" s="490"/>
      <c r="U97" s="466"/>
      <c r="Z97" s="513"/>
      <c r="AC97" s="491"/>
      <c r="AO97" s="466"/>
      <c r="AP97" s="466"/>
      <c r="AQ97" s="472"/>
      <c r="AR97" s="472"/>
      <c r="AS97" s="472"/>
      <c r="AT97" s="472"/>
      <c r="AU97" s="473"/>
      <c r="AV97" s="472"/>
      <c r="BE97" s="474"/>
      <c r="BF97" s="474"/>
      <c r="BG97" s="474"/>
      <c r="BH97" s="474"/>
      <c r="BI97" s="474"/>
      <c r="BJ97" s="474"/>
      <c r="BK97" s="474"/>
      <c r="BL97" s="474"/>
      <c r="BM97" s="474"/>
      <c r="BN97" s="474"/>
      <c r="BO97" s="474"/>
      <c r="BP97" s="474"/>
      <c r="BQ97" s="474"/>
      <c r="BR97" s="474"/>
      <c r="BS97" s="474"/>
      <c r="BT97" s="474"/>
      <c r="BU97" s="474"/>
      <c r="BV97" s="474"/>
      <c r="BW97" s="474"/>
      <c r="BX97" s="474"/>
      <c r="BY97" s="474"/>
      <c r="BZ97" s="474"/>
      <c r="CA97" s="474"/>
      <c r="CB97" s="474"/>
      <c r="CC97" s="475"/>
      <c r="CD97" s="475"/>
      <c r="CE97" s="475"/>
      <c r="CF97" s="474"/>
      <c r="CG97" s="474"/>
      <c r="CH97" s="474"/>
      <c r="CI97" s="474"/>
      <c r="CJ97" s="474"/>
      <c r="CK97" s="474"/>
    </row>
    <row r="98" spans="3:89" s="469" customFormat="1" ht="13.5" customHeight="1" x14ac:dyDescent="0.2">
      <c r="C98" s="521" t="s">
        <v>82</v>
      </c>
      <c r="D98" s="490"/>
      <c r="U98" s="466"/>
      <c r="Z98" s="513"/>
      <c r="AC98" s="491"/>
      <c r="AO98" s="466"/>
      <c r="AP98" s="466"/>
      <c r="AQ98" s="472"/>
      <c r="AR98" s="472"/>
      <c r="AS98" s="472"/>
      <c r="AT98" s="472"/>
      <c r="AU98" s="473"/>
      <c r="AV98" s="472"/>
      <c r="BE98" s="474"/>
      <c r="BF98" s="474"/>
      <c r="BG98" s="474"/>
      <c r="BH98" s="474"/>
      <c r="BI98" s="474"/>
      <c r="BJ98" s="474"/>
      <c r="BK98" s="474"/>
      <c r="BL98" s="474"/>
      <c r="BM98" s="474"/>
      <c r="BN98" s="474"/>
      <c r="BO98" s="474"/>
      <c r="BP98" s="474"/>
      <c r="BQ98" s="474"/>
      <c r="BR98" s="474"/>
      <c r="BS98" s="474"/>
      <c r="BT98" s="474"/>
      <c r="BU98" s="474"/>
      <c r="BV98" s="474"/>
      <c r="BW98" s="474"/>
      <c r="BX98" s="474"/>
      <c r="BY98" s="474"/>
      <c r="BZ98" s="474"/>
      <c r="CA98" s="474"/>
      <c r="CB98" s="474"/>
      <c r="CC98" s="475"/>
      <c r="CD98" s="475"/>
      <c r="CE98" s="475"/>
      <c r="CF98" s="474"/>
      <c r="CG98" s="474"/>
      <c r="CH98" s="474"/>
      <c r="CI98" s="474"/>
      <c r="CJ98" s="474"/>
      <c r="CK98" s="474"/>
    </row>
    <row r="99" spans="3:89" s="469" customFormat="1" ht="13.5" customHeight="1" x14ac:dyDescent="0.2">
      <c r="C99" s="521" t="s">
        <v>83</v>
      </c>
      <c r="D99" s="490"/>
      <c r="U99" s="466"/>
      <c r="Z99" s="513"/>
      <c r="AC99" s="491"/>
      <c r="AO99" s="466"/>
      <c r="AP99" s="466"/>
      <c r="AQ99" s="472"/>
      <c r="AR99" s="472"/>
      <c r="AS99" s="472"/>
      <c r="AT99" s="472"/>
      <c r="AU99" s="473"/>
      <c r="AV99" s="472"/>
      <c r="BE99" s="474"/>
      <c r="BF99" s="474"/>
      <c r="BG99" s="474"/>
      <c r="BH99" s="474"/>
      <c r="BI99" s="474"/>
      <c r="BJ99" s="474"/>
      <c r="BK99" s="474"/>
      <c r="BL99" s="474"/>
      <c r="BM99" s="474"/>
      <c r="BN99" s="474"/>
      <c r="BO99" s="474"/>
      <c r="BP99" s="474"/>
      <c r="BQ99" s="474"/>
      <c r="BR99" s="474"/>
      <c r="BS99" s="474"/>
      <c r="BT99" s="474"/>
      <c r="BU99" s="474"/>
      <c r="BV99" s="474"/>
      <c r="BW99" s="474"/>
      <c r="BX99" s="474"/>
      <c r="BY99" s="474"/>
      <c r="BZ99" s="474"/>
      <c r="CA99" s="474"/>
      <c r="CB99" s="474"/>
      <c r="CC99" s="475"/>
      <c r="CD99" s="475"/>
      <c r="CE99" s="475"/>
      <c r="CF99" s="474"/>
      <c r="CG99" s="474"/>
      <c r="CH99" s="474"/>
      <c r="CI99" s="474"/>
      <c r="CJ99" s="474"/>
      <c r="CK99" s="474"/>
    </row>
    <row r="100" spans="3:89" s="469" customFormat="1" ht="13.5" customHeight="1" x14ac:dyDescent="0.2">
      <c r="C100" s="521" t="s">
        <v>84</v>
      </c>
      <c r="D100" s="490"/>
      <c r="U100" s="466"/>
      <c r="Z100" s="513"/>
      <c r="AC100" s="491"/>
      <c r="AO100" s="466"/>
      <c r="AP100" s="466"/>
      <c r="AQ100" s="472"/>
      <c r="AR100" s="472"/>
      <c r="AS100" s="472"/>
      <c r="AT100" s="472"/>
      <c r="AU100" s="473"/>
      <c r="AV100" s="472"/>
      <c r="BE100" s="474"/>
      <c r="BF100" s="474"/>
      <c r="BG100" s="474"/>
      <c r="BH100" s="474"/>
      <c r="BI100" s="474"/>
      <c r="BJ100" s="474"/>
      <c r="BK100" s="474"/>
      <c r="BL100" s="474"/>
      <c r="BM100" s="474"/>
      <c r="BN100" s="474"/>
      <c r="BO100" s="474"/>
      <c r="BP100" s="474"/>
      <c r="BQ100" s="474"/>
      <c r="BR100" s="474"/>
      <c r="BS100" s="474"/>
      <c r="BT100" s="474"/>
      <c r="BU100" s="474"/>
      <c r="BV100" s="474"/>
      <c r="BW100" s="474"/>
      <c r="BX100" s="474"/>
      <c r="BY100" s="474"/>
      <c r="BZ100" s="474"/>
      <c r="CA100" s="474"/>
      <c r="CB100" s="474"/>
      <c r="CC100" s="475"/>
      <c r="CD100" s="475"/>
      <c r="CE100" s="475"/>
      <c r="CF100" s="474"/>
      <c r="CG100" s="474"/>
      <c r="CH100" s="474"/>
      <c r="CI100" s="474"/>
      <c r="CJ100" s="474"/>
      <c r="CK100" s="474"/>
    </row>
    <row r="101" spans="3:89" s="469" customFormat="1" ht="13.5" customHeight="1" x14ac:dyDescent="0.2">
      <c r="C101" s="521" t="s">
        <v>85</v>
      </c>
      <c r="D101" s="490"/>
      <c r="U101" s="466"/>
      <c r="Z101" s="513"/>
      <c r="AC101" s="491"/>
      <c r="AO101" s="466"/>
      <c r="AP101" s="466"/>
      <c r="AQ101" s="472"/>
      <c r="AR101" s="472"/>
      <c r="AS101" s="472"/>
      <c r="AT101" s="472"/>
      <c r="AU101" s="473"/>
      <c r="AV101" s="472"/>
      <c r="BE101" s="474"/>
      <c r="BF101" s="474"/>
      <c r="BG101" s="474"/>
      <c r="BH101" s="474"/>
      <c r="BI101" s="474"/>
      <c r="BJ101" s="474"/>
      <c r="BK101" s="474"/>
      <c r="BL101" s="474"/>
      <c r="BM101" s="474"/>
      <c r="BN101" s="474"/>
      <c r="BO101" s="474"/>
      <c r="BP101" s="474"/>
      <c r="BQ101" s="474"/>
      <c r="BR101" s="474"/>
      <c r="BS101" s="474"/>
      <c r="BT101" s="474"/>
      <c r="BU101" s="474"/>
      <c r="BV101" s="474"/>
      <c r="BW101" s="474"/>
      <c r="BX101" s="474"/>
      <c r="BY101" s="474"/>
      <c r="BZ101" s="474"/>
      <c r="CA101" s="474"/>
      <c r="CB101" s="474"/>
      <c r="CC101" s="475"/>
      <c r="CD101" s="475"/>
      <c r="CE101" s="475"/>
      <c r="CF101" s="474"/>
      <c r="CG101" s="474"/>
      <c r="CH101" s="474"/>
      <c r="CI101" s="474"/>
      <c r="CJ101" s="474"/>
      <c r="CK101" s="474"/>
    </row>
    <row r="102" spans="3:89" s="469" customFormat="1" ht="13.5" customHeight="1" x14ac:dyDescent="0.2">
      <c r="C102" s="521">
        <v>1</v>
      </c>
      <c r="D102" s="490"/>
      <c r="U102" s="466"/>
      <c r="Z102" s="513"/>
      <c r="AC102" s="491"/>
      <c r="AO102" s="466"/>
      <c r="AP102" s="466"/>
      <c r="AQ102" s="472"/>
      <c r="AR102" s="472"/>
      <c r="AS102" s="472"/>
      <c r="AT102" s="472"/>
      <c r="AU102" s="473"/>
      <c r="AV102" s="472"/>
      <c r="BE102" s="474"/>
      <c r="BF102" s="474"/>
      <c r="BG102" s="474"/>
      <c r="BH102" s="474"/>
      <c r="BI102" s="474"/>
      <c r="BJ102" s="474"/>
      <c r="BK102" s="474"/>
      <c r="BL102" s="474"/>
      <c r="BM102" s="474"/>
      <c r="BN102" s="474"/>
      <c r="BO102" s="474"/>
      <c r="BP102" s="474"/>
      <c r="BQ102" s="474"/>
      <c r="BR102" s="474"/>
      <c r="BS102" s="474"/>
      <c r="BT102" s="474"/>
      <c r="BU102" s="474"/>
      <c r="BV102" s="474"/>
      <c r="BW102" s="474"/>
      <c r="BX102" s="474"/>
      <c r="BY102" s="474"/>
      <c r="BZ102" s="474"/>
      <c r="CA102" s="474"/>
      <c r="CB102" s="474"/>
      <c r="CC102" s="475"/>
      <c r="CD102" s="475"/>
      <c r="CE102" s="475"/>
      <c r="CF102" s="474"/>
      <c r="CG102" s="474"/>
      <c r="CH102" s="474"/>
      <c r="CI102" s="474"/>
      <c r="CJ102" s="474"/>
      <c r="CK102" s="474"/>
    </row>
    <row r="103" spans="3:89" s="469" customFormat="1" ht="13.5" customHeight="1" x14ac:dyDescent="0.2">
      <c r="C103" s="521">
        <v>2</v>
      </c>
      <c r="D103" s="490"/>
      <c r="U103" s="466"/>
      <c r="Z103" s="513"/>
      <c r="AC103" s="491"/>
      <c r="AO103" s="466"/>
      <c r="AP103" s="466"/>
      <c r="AQ103" s="472"/>
      <c r="AR103" s="472"/>
      <c r="AS103" s="472"/>
      <c r="AT103" s="472"/>
      <c r="AU103" s="473"/>
      <c r="AV103" s="472"/>
      <c r="BE103" s="474"/>
      <c r="BF103" s="474"/>
      <c r="BG103" s="474"/>
      <c r="BH103" s="474"/>
      <c r="BI103" s="474"/>
      <c r="BJ103" s="474"/>
      <c r="BK103" s="474"/>
      <c r="BL103" s="474"/>
      <c r="BM103" s="474"/>
      <c r="BN103" s="474"/>
      <c r="BO103" s="474"/>
      <c r="BP103" s="474"/>
      <c r="BQ103" s="474"/>
      <c r="BR103" s="474"/>
      <c r="BS103" s="474"/>
      <c r="BT103" s="474"/>
      <c r="BU103" s="474"/>
      <c r="BV103" s="474"/>
      <c r="BW103" s="474"/>
      <c r="BX103" s="474"/>
      <c r="BY103" s="474"/>
      <c r="BZ103" s="474"/>
      <c r="CA103" s="474"/>
      <c r="CB103" s="474"/>
      <c r="CC103" s="475"/>
      <c r="CD103" s="475"/>
      <c r="CE103" s="475"/>
      <c r="CF103" s="474"/>
      <c r="CG103" s="474"/>
      <c r="CH103" s="474"/>
      <c r="CI103" s="474"/>
      <c r="CJ103" s="474"/>
      <c r="CK103" s="474"/>
    </row>
    <row r="104" spans="3:89" s="469" customFormat="1" ht="13.5" customHeight="1" x14ac:dyDescent="0.2">
      <c r="C104" s="521">
        <v>3</v>
      </c>
      <c r="D104" s="490"/>
      <c r="U104" s="466"/>
      <c r="Z104" s="513"/>
      <c r="AC104" s="491"/>
      <c r="AO104" s="466"/>
      <c r="AP104" s="466"/>
      <c r="AQ104" s="472"/>
      <c r="AR104" s="472"/>
      <c r="AS104" s="472"/>
      <c r="AT104" s="472"/>
      <c r="AU104" s="473"/>
      <c r="AV104" s="472"/>
      <c r="BE104" s="474"/>
      <c r="BF104" s="474"/>
      <c r="BG104" s="474"/>
      <c r="BH104" s="474"/>
      <c r="BI104" s="474"/>
      <c r="BJ104" s="474"/>
      <c r="BK104" s="474"/>
      <c r="BL104" s="474"/>
      <c r="BM104" s="474"/>
      <c r="BN104" s="474"/>
      <c r="BO104" s="474"/>
      <c r="BP104" s="474"/>
      <c r="BQ104" s="474"/>
      <c r="BR104" s="474"/>
      <c r="BS104" s="474"/>
      <c r="BT104" s="474"/>
      <c r="BU104" s="474"/>
      <c r="BV104" s="474"/>
      <c r="BW104" s="474"/>
      <c r="BX104" s="474"/>
      <c r="BY104" s="474"/>
      <c r="BZ104" s="474"/>
      <c r="CA104" s="474"/>
      <c r="CB104" s="474"/>
      <c r="CC104" s="475"/>
      <c r="CD104" s="475"/>
      <c r="CE104" s="475"/>
      <c r="CF104" s="474"/>
      <c r="CG104" s="474"/>
      <c r="CH104" s="474"/>
      <c r="CI104" s="474"/>
      <c r="CJ104" s="474"/>
      <c r="CK104" s="474"/>
    </row>
    <row r="105" spans="3:89" s="469" customFormat="1" ht="13.5" customHeight="1" x14ac:dyDescent="0.2">
      <c r="C105" s="521">
        <v>4</v>
      </c>
      <c r="D105" s="490"/>
      <c r="U105" s="466"/>
      <c r="Z105" s="513"/>
      <c r="AC105" s="491"/>
      <c r="AO105" s="466"/>
      <c r="AP105" s="466"/>
      <c r="AQ105" s="472"/>
      <c r="AR105" s="472"/>
      <c r="AS105" s="472"/>
      <c r="AT105" s="472"/>
      <c r="AU105" s="473"/>
      <c r="AV105" s="472"/>
      <c r="BE105" s="474"/>
      <c r="BF105" s="474"/>
      <c r="BG105" s="474"/>
      <c r="BH105" s="474"/>
      <c r="BI105" s="474"/>
      <c r="BJ105" s="474"/>
      <c r="BK105" s="474"/>
      <c r="BL105" s="474"/>
      <c r="BM105" s="474"/>
      <c r="BN105" s="474"/>
      <c r="BO105" s="474"/>
      <c r="BP105" s="474"/>
      <c r="BQ105" s="474"/>
      <c r="BR105" s="474"/>
      <c r="BS105" s="474"/>
      <c r="BT105" s="474"/>
      <c r="BU105" s="474"/>
      <c r="BV105" s="474"/>
      <c r="BW105" s="474"/>
      <c r="BX105" s="474"/>
      <c r="BY105" s="474"/>
      <c r="BZ105" s="474"/>
      <c r="CA105" s="474"/>
      <c r="CB105" s="474"/>
      <c r="CC105" s="475"/>
      <c r="CD105" s="475"/>
      <c r="CE105" s="475"/>
      <c r="CF105" s="474"/>
      <c r="CG105" s="474"/>
      <c r="CH105" s="474"/>
      <c r="CI105" s="474"/>
      <c r="CJ105" s="474"/>
      <c r="CK105" s="474"/>
    </row>
    <row r="106" spans="3:89" s="469" customFormat="1" ht="13.5" customHeight="1" x14ac:dyDescent="0.2">
      <c r="C106" s="521">
        <v>5</v>
      </c>
      <c r="D106" s="490"/>
      <c r="U106" s="466"/>
      <c r="Z106" s="513"/>
      <c r="AC106" s="491"/>
      <c r="AO106" s="466"/>
      <c r="AP106" s="466"/>
      <c r="AQ106" s="472"/>
      <c r="AR106" s="472"/>
      <c r="AS106" s="472"/>
      <c r="AT106" s="472"/>
      <c r="AU106" s="473"/>
      <c r="AV106" s="472"/>
      <c r="BE106" s="474"/>
      <c r="BF106" s="474"/>
      <c r="BG106" s="474"/>
      <c r="BH106" s="474"/>
      <c r="BI106" s="474"/>
      <c r="BJ106" s="474"/>
      <c r="BK106" s="474"/>
      <c r="BL106" s="474"/>
      <c r="BM106" s="474"/>
      <c r="BN106" s="474"/>
      <c r="BO106" s="474"/>
      <c r="BP106" s="474"/>
      <c r="BQ106" s="474"/>
      <c r="BR106" s="474"/>
      <c r="BS106" s="474"/>
      <c r="BT106" s="474"/>
      <c r="BU106" s="474"/>
      <c r="BV106" s="474"/>
      <c r="BW106" s="474"/>
      <c r="BX106" s="474"/>
      <c r="BY106" s="474"/>
      <c r="BZ106" s="474"/>
      <c r="CA106" s="474"/>
      <c r="CB106" s="474"/>
      <c r="CC106" s="475"/>
      <c r="CD106" s="475"/>
      <c r="CE106" s="475"/>
      <c r="CF106" s="474"/>
      <c r="CG106" s="474"/>
      <c r="CH106" s="474"/>
      <c r="CI106" s="474"/>
      <c r="CJ106" s="474"/>
      <c r="CK106" s="474"/>
    </row>
    <row r="107" spans="3:89" s="469" customFormat="1" ht="13.5" customHeight="1" x14ac:dyDescent="0.2">
      <c r="C107" s="521">
        <v>6</v>
      </c>
      <c r="D107" s="490"/>
      <c r="U107" s="466"/>
      <c r="Z107" s="513"/>
      <c r="AC107" s="491"/>
      <c r="AO107" s="466"/>
      <c r="AP107" s="466"/>
      <c r="AQ107" s="472"/>
      <c r="AR107" s="472"/>
      <c r="AS107" s="472"/>
      <c r="AT107" s="472"/>
      <c r="AU107" s="473"/>
      <c r="AV107" s="472"/>
      <c r="BE107" s="474"/>
      <c r="BF107" s="474"/>
      <c r="BG107" s="474"/>
      <c r="BH107" s="474"/>
      <c r="BI107" s="474"/>
      <c r="BJ107" s="474"/>
      <c r="BK107" s="474"/>
      <c r="BL107" s="474"/>
      <c r="BM107" s="474"/>
      <c r="BN107" s="474"/>
      <c r="BO107" s="474"/>
      <c r="BP107" s="474"/>
      <c r="BQ107" s="474"/>
      <c r="BR107" s="474"/>
      <c r="BS107" s="474"/>
      <c r="BT107" s="474"/>
      <c r="BU107" s="474"/>
      <c r="BV107" s="474"/>
      <c r="BW107" s="474"/>
      <c r="BX107" s="474"/>
      <c r="BY107" s="474"/>
      <c r="BZ107" s="474"/>
      <c r="CA107" s="474"/>
      <c r="CB107" s="474"/>
      <c r="CC107" s="475"/>
      <c r="CD107" s="475"/>
      <c r="CE107" s="475"/>
      <c r="CF107" s="474"/>
      <c r="CG107" s="474"/>
      <c r="CH107" s="474"/>
      <c r="CI107" s="474"/>
      <c r="CJ107" s="474"/>
      <c r="CK107" s="474"/>
    </row>
    <row r="108" spans="3:89" s="469" customFormat="1" ht="13.5" customHeight="1" x14ac:dyDescent="0.2">
      <c r="C108" s="521">
        <v>7</v>
      </c>
      <c r="D108" s="490"/>
      <c r="U108" s="466"/>
      <c r="Z108" s="513"/>
      <c r="AC108" s="491"/>
      <c r="AO108" s="466"/>
      <c r="AP108" s="466"/>
      <c r="AQ108" s="472"/>
      <c r="AR108" s="472"/>
      <c r="AS108" s="472"/>
      <c r="AT108" s="472"/>
      <c r="AU108" s="473"/>
      <c r="AV108" s="472"/>
      <c r="BE108" s="474"/>
      <c r="BF108" s="474"/>
      <c r="BG108" s="474"/>
      <c r="BH108" s="474"/>
      <c r="BI108" s="474"/>
      <c r="BJ108" s="474"/>
      <c r="BK108" s="474"/>
      <c r="BL108" s="474"/>
      <c r="BM108" s="474"/>
      <c r="BN108" s="474"/>
      <c r="BO108" s="474"/>
      <c r="BP108" s="474"/>
      <c r="BQ108" s="474"/>
      <c r="BR108" s="474"/>
      <c r="BS108" s="474"/>
      <c r="BT108" s="474"/>
      <c r="BU108" s="474"/>
      <c r="BV108" s="474"/>
      <c r="BW108" s="474"/>
      <c r="BX108" s="474"/>
      <c r="BY108" s="474"/>
      <c r="BZ108" s="474"/>
      <c r="CA108" s="474"/>
      <c r="CB108" s="474"/>
      <c r="CC108" s="475"/>
      <c r="CD108" s="475"/>
      <c r="CE108" s="475"/>
      <c r="CF108" s="474"/>
      <c r="CG108" s="474"/>
      <c r="CH108" s="474"/>
      <c r="CI108" s="474"/>
      <c r="CJ108" s="474"/>
      <c r="CK108" s="474"/>
    </row>
    <row r="109" spans="3:89" s="469" customFormat="1" ht="13.5" customHeight="1" x14ac:dyDescent="0.2">
      <c r="C109" s="521">
        <v>8</v>
      </c>
      <c r="D109" s="490"/>
      <c r="U109" s="466"/>
      <c r="Z109" s="513"/>
      <c r="AC109" s="491"/>
      <c r="AO109" s="466"/>
      <c r="AP109" s="466"/>
      <c r="AQ109" s="472"/>
      <c r="AR109" s="472"/>
      <c r="AS109" s="472"/>
      <c r="AT109" s="472"/>
      <c r="AU109" s="473"/>
      <c r="AV109" s="472"/>
      <c r="BE109" s="474"/>
      <c r="BF109" s="474"/>
      <c r="BG109" s="474"/>
      <c r="BH109" s="474"/>
      <c r="BI109" s="474"/>
      <c r="BJ109" s="474"/>
      <c r="BK109" s="474"/>
      <c r="BL109" s="474"/>
      <c r="BM109" s="474"/>
      <c r="BN109" s="474"/>
      <c r="BO109" s="474"/>
      <c r="BP109" s="474"/>
      <c r="BQ109" s="474"/>
      <c r="BR109" s="474"/>
      <c r="BS109" s="474"/>
      <c r="BT109" s="474"/>
      <c r="BU109" s="474"/>
      <c r="BV109" s="474"/>
      <c r="BW109" s="474"/>
      <c r="BX109" s="474"/>
      <c r="BY109" s="474"/>
      <c r="BZ109" s="474"/>
      <c r="CA109" s="474"/>
      <c r="CB109" s="474"/>
      <c r="CC109" s="475"/>
      <c r="CD109" s="475"/>
      <c r="CE109" s="475"/>
      <c r="CF109" s="474"/>
      <c r="CG109" s="474"/>
      <c r="CH109" s="474"/>
      <c r="CI109" s="474"/>
      <c r="CJ109" s="474"/>
      <c r="CK109" s="474"/>
    </row>
    <row r="110" spans="3:89" s="469" customFormat="1" ht="13.5" customHeight="1" x14ac:dyDescent="0.2">
      <c r="C110" s="521">
        <v>9</v>
      </c>
      <c r="D110" s="490"/>
      <c r="U110" s="466"/>
      <c r="Z110" s="513"/>
      <c r="AC110" s="491"/>
      <c r="AO110" s="466"/>
      <c r="AP110" s="466"/>
      <c r="AQ110" s="472"/>
      <c r="AR110" s="472"/>
      <c r="AS110" s="472"/>
      <c r="AT110" s="472"/>
      <c r="AU110" s="473"/>
      <c r="AV110" s="472"/>
      <c r="BE110" s="474"/>
      <c r="BF110" s="474"/>
      <c r="BG110" s="474"/>
      <c r="BH110" s="474"/>
      <c r="BI110" s="474"/>
      <c r="BJ110" s="474"/>
      <c r="BK110" s="474"/>
      <c r="BL110" s="474"/>
      <c r="BM110" s="474"/>
      <c r="BN110" s="474"/>
      <c r="BO110" s="474"/>
      <c r="BP110" s="474"/>
      <c r="BQ110" s="474"/>
      <c r="BR110" s="474"/>
      <c r="BS110" s="474"/>
      <c r="BT110" s="474"/>
      <c r="BU110" s="474"/>
      <c r="BV110" s="474"/>
      <c r="BW110" s="474"/>
      <c r="BX110" s="474"/>
      <c r="BY110" s="474"/>
      <c r="BZ110" s="474"/>
      <c r="CA110" s="474"/>
      <c r="CB110" s="474"/>
      <c r="CC110" s="475"/>
      <c r="CD110" s="475"/>
      <c r="CE110" s="475"/>
      <c r="CF110" s="474"/>
      <c r="CG110" s="474"/>
      <c r="CH110" s="474"/>
      <c r="CI110" s="474"/>
      <c r="CJ110" s="474"/>
      <c r="CK110" s="474"/>
    </row>
    <row r="111" spans="3:89" s="469" customFormat="1" ht="13.5" customHeight="1" x14ac:dyDescent="0.2">
      <c r="C111" s="521">
        <v>10</v>
      </c>
      <c r="D111" s="490"/>
      <c r="U111" s="466"/>
      <c r="Z111" s="513"/>
      <c r="AC111" s="491"/>
      <c r="AO111" s="466"/>
      <c r="AP111" s="466"/>
      <c r="AQ111" s="472"/>
      <c r="AR111" s="472"/>
      <c r="AS111" s="472"/>
      <c r="AT111" s="472"/>
      <c r="AU111" s="473"/>
      <c r="AV111" s="472"/>
      <c r="BE111" s="474"/>
      <c r="BF111" s="474"/>
      <c r="BG111" s="474"/>
      <c r="BH111" s="474"/>
      <c r="BI111" s="474"/>
      <c r="BJ111" s="474"/>
      <c r="BK111" s="474"/>
      <c r="BL111" s="474"/>
      <c r="BM111" s="474"/>
      <c r="BN111" s="474"/>
      <c r="BO111" s="474"/>
      <c r="BP111" s="474"/>
      <c r="BQ111" s="474"/>
      <c r="BR111" s="474"/>
      <c r="BS111" s="474"/>
      <c r="BT111" s="474"/>
      <c r="BU111" s="474"/>
      <c r="BV111" s="474"/>
      <c r="BW111" s="474"/>
      <c r="BX111" s="474"/>
      <c r="BY111" s="474"/>
      <c r="BZ111" s="474"/>
      <c r="CA111" s="474"/>
      <c r="CB111" s="474"/>
      <c r="CC111" s="475"/>
      <c r="CD111" s="475"/>
      <c r="CE111" s="475"/>
      <c r="CF111" s="474"/>
      <c r="CG111" s="474"/>
      <c r="CH111" s="474"/>
      <c r="CI111" s="474"/>
      <c r="CJ111" s="474"/>
      <c r="CK111" s="474"/>
    </row>
    <row r="112" spans="3:89" s="469" customFormat="1" ht="13.5" customHeight="1" x14ac:dyDescent="0.2">
      <c r="C112" s="521">
        <v>11</v>
      </c>
      <c r="D112" s="490"/>
      <c r="U112" s="466"/>
      <c r="Z112" s="513"/>
      <c r="AC112" s="491"/>
      <c r="AO112" s="466"/>
      <c r="AP112" s="466"/>
      <c r="AQ112" s="472"/>
      <c r="AR112" s="472"/>
      <c r="AS112" s="472"/>
      <c r="AT112" s="472"/>
      <c r="AU112" s="473"/>
      <c r="AV112" s="472"/>
      <c r="BE112" s="474"/>
      <c r="BF112" s="474"/>
      <c r="BG112" s="474"/>
      <c r="BH112" s="474"/>
      <c r="BI112" s="474"/>
      <c r="BJ112" s="474"/>
      <c r="BK112" s="474"/>
      <c r="BL112" s="474"/>
      <c r="BM112" s="474"/>
      <c r="BN112" s="474"/>
      <c r="BO112" s="474"/>
      <c r="BP112" s="474"/>
      <c r="BQ112" s="474"/>
      <c r="BR112" s="474"/>
      <c r="BS112" s="474"/>
      <c r="BT112" s="474"/>
      <c r="BU112" s="474"/>
      <c r="BV112" s="474"/>
      <c r="BW112" s="474"/>
      <c r="BX112" s="474"/>
      <c r="BY112" s="474"/>
      <c r="BZ112" s="474"/>
      <c r="CA112" s="474"/>
      <c r="CB112" s="474"/>
      <c r="CC112" s="475"/>
      <c r="CD112" s="475"/>
      <c r="CE112" s="475"/>
      <c r="CF112" s="474"/>
      <c r="CG112" s="474"/>
      <c r="CH112" s="474"/>
      <c r="CI112" s="474"/>
      <c r="CJ112" s="474"/>
      <c r="CK112" s="474"/>
    </row>
    <row r="113" spans="3:89" s="469" customFormat="1" ht="13.5" customHeight="1" x14ac:dyDescent="0.2">
      <c r="C113" s="521">
        <v>12</v>
      </c>
      <c r="D113" s="490"/>
      <c r="U113" s="466"/>
      <c r="Z113" s="513"/>
      <c r="AC113" s="491"/>
      <c r="AO113" s="466"/>
      <c r="AP113" s="466"/>
      <c r="AQ113" s="472"/>
      <c r="AR113" s="472"/>
      <c r="AS113" s="472"/>
      <c r="AT113" s="472"/>
      <c r="AU113" s="473"/>
      <c r="AV113" s="472"/>
      <c r="BE113" s="474"/>
      <c r="BF113" s="474"/>
      <c r="BG113" s="474"/>
      <c r="BH113" s="474"/>
      <c r="BI113" s="474"/>
      <c r="BJ113" s="474"/>
      <c r="BK113" s="474"/>
      <c r="BL113" s="474"/>
      <c r="BM113" s="474"/>
      <c r="BN113" s="474"/>
      <c r="BO113" s="474"/>
      <c r="BP113" s="474"/>
      <c r="BQ113" s="474"/>
      <c r="BR113" s="474"/>
      <c r="BS113" s="474"/>
      <c r="BT113" s="474"/>
      <c r="BU113" s="474"/>
      <c r="BV113" s="474"/>
      <c r="BW113" s="474"/>
      <c r="BX113" s="474"/>
      <c r="BY113" s="474"/>
      <c r="BZ113" s="474"/>
      <c r="CA113" s="474"/>
      <c r="CB113" s="474"/>
      <c r="CC113" s="475"/>
      <c r="CD113" s="475"/>
      <c r="CE113" s="475"/>
      <c r="CF113" s="474"/>
      <c r="CG113" s="474"/>
      <c r="CH113" s="474"/>
      <c r="CI113" s="474"/>
      <c r="CJ113" s="474"/>
      <c r="CK113" s="474"/>
    </row>
    <row r="114" spans="3:89" s="469" customFormat="1" ht="13.5" customHeight="1" x14ac:dyDescent="0.2">
      <c r="C114" s="521">
        <v>13</v>
      </c>
      <c r="D114" s="490"/>
      <c r="U114" s="466"/>
      <c r="Z114" s="513"/>
      <c r="AC114" s="491"/>
      <c r="AO114" s="466"/>
      <c r="AP114" s="466"/>
      <c r="AQ114" s="472"/>
      <c r="AR114" s="472"/>
      <c r="AS114" s="472"/>
      <c r="AT114" s="472"/>
      <c r="AU114" s="473"/>
      <c r="AV114" s="472"/>
      <c r="BE114" s="474"/>
      <c r="BF114" s="474"/>
      <c r="BG114" s="474"/>
      <c r="BH114" s="474"/>
      <c r="BI114" s="474"/>
      <c r="BJ114" s="474"/>
      <c r="BK114" s="474"/>
      <c r="BL114" s="474"/>
      <c r="BM114" s="474"/>
      <c r="BN114" s="474"/>
      <c r="BO114" s="474"/>
      <c r="BP114" s="474"/>
      <c r="BQ114" s="474"/>
      <c r="BR114" s="474"/>
      <c r="BS114" s="474"/>
      <c r="BT114" s="474"/>
      <c r="BU114" s="474"/>
      <c r="BV114" s="474"/>
      <c r="BW114" s="474"/>
      <c r="BX114" s="474"/>
      <c r="BY114" s="474"/>
      <c r="BZ114" s="474"/>
      <c r="CA114" s="474"/>
      <c r="CB114" s="474"/>
      <c r="CC114" s="475"/>
      <c r="CD114" s="475"/>
      <c r="CE114" s="475"/>
      <c r="CF114" s="474"/>
      <c r="CG114" s="474"/>
      <c r="CH114" s="474"/>
      <c r="CI114" s="474"/>
      <c r="CJ114" s="474"/>
      <c r="CK114" s="474"/>
    </row>
    <row r="115" spans="3:89" s="469" customFormat="1" ht="13.5" customHeight="1" x14ac:dyDescent="0.2">
      <c r="C115" s="521">
        <v>14</v>
      </c>
      <c r="D115" s="490"/>
      <c r="U115" s="466"/>
      <c r="Z115" s="513"/>
      <c r="AC115" s="491"/>
      <c r="AO115" s="466"/>
      <c r="AP115" s="466"/>
      <c r="AQ115" s="472"/>
      <c r="AR115" s="472"/>
      <c r="AS115" s="472"/>
      <c r="AT115" s="472"/>
      <c r="AU115" s="473"/>
      <c r="AV115" s="472"/>
      <c r="BE115" s="474"/>
      <c r="BF115" s="474"/>
      <c r="BG115" s="474"/>
      <c r="BH115" s="474"/>
      <c r="BI115" s="474"/>
      <c r="BJ115" s="474"/>
      <c r="BK115" s="474"/>
      <c r="BL115" s="474"/>
      <c r="BM115" s="474"/>
      <c r="BN115" s="474"/>
      <c r="BO115" s="474"/>
      <c r="BP115" s="474"/>
      <c r="BQ115" s="474"/>
      <c r="BR115" s="474"/>
      <c r="BS115" s="474"/>
      <c r="BT115" s="474"/>
      <c r="BU115" s="474"/>
      <c r="BV115" s="474"/>
      <c r="BW115" s="474"/>
      <c r="BX115" s="474"/>
      <c r="BY115" s="474"/>
      <c r="BZ115" s="474"/>
      <c r="CA115" s="474"/>
      <c r="CB115" s="474"/>
      <c r="CC115" s="475"/>
      <c r="CD115" s="475"/>
      <c r="CE115" s="475"/>
      <c r="CF115" s="474"/>
      <c r="CG115" s="474"/>
      <c r="CH115" s="474"/>
      <c r="CI115" s="474"/>
      <c r="CJ115" s="474"/>
      <c r="CK115" s="474"/>
    </row>
    <row r="116" spans="3:89" s="469" customFormat="1" ht="13.5" customHeight="1" x14ac:dyDescent="0.2">
      <c r="C116" s="521">
        <v>15</v>
      </c>
      <c r="D116" s="490"/>
      <c r="U116" s="466"/>
      <c r="Z116" s="513"/>
      <c r="AC116" s="491"/>
      <c r="AO116" s="466"/>
      <c r="AP116" s="466"/>
      <c r="AQ116" s="472"/>
      <c r="AR116" s="472"/>
      <c r="AS116" s="472"/>
      <c r="AT116" s="472"/>
      <c r="AU116" s="473"/>
      <c r="AV116" s="472"/>
      <c r="BE116" s="474"/>
      <c r="BF116" s="474"/>
      <c r="BG116" s="474"/>
      <c r="BH116" s="474"/>
      <c r="BI116" s="474"/>
      <c r="BJ116" s="474"/>
      <c r="BK116" s="474"/>
      <c r="BL116" s="474"/>
      <c r="BM116" s="474"/>
      <c r="BN116" s="474"/>
      <c r="BO116" s="474"/>
      <c r="BP116" s="474"/>
      <c r="BQ116" s="474"/>
      <c r="BR116" s="474"/>
      <c r="BS116" s="474"/>
      <c r="BT116" s="474"/>
      <c r="BU116" s="474"/>
      <c r="BV116" s="474"/>
      <c r="BW116" s="474"/>
      <c r="BX116" s="474"/>
      <c r="BY116" s="474"/>
      <c r="BZ116" s="474"/>
      <c r="CA116" s="474"/>
      <c r="CB116" s="474"/>
      <c r="CC116" s="475"/>
      <c r="CD116" s="475"/>
      <c r="CE116" s="475"/>
      <c r="CF116" s="474"/>
      <c r="CG116" s="474"/>
      <c r="CH116" s="474"/>
      <c r="CI116" s="474"/>
      <c r="CJ116" s="474"/>
      <c r="CK116" s="474"/>
    </row>
    <row r="117" spans="3:89" s="469" customFormat="1" ht="13.5" customHeight="1" x14ac:dyDescent="0.2">
      <c r="C117" s="521">
        <v>16</v>
      </c>
      <c r="D117" s="490"/>
      <c r="U117" s="466"/>
      <c r="Z117" s="513"/>
      <c r="AC117" s="491"/>
      <c r="AO117" s="466"/>
      <c r="AP117" s="466"/>
      <c r="AQ117" s="472"/>
      <c r="AR117" s="472"/>
      <c r="AS117" s="472"/>
      <c r="AT117" s="472"/>
      <c r="AU117" s="473"/>
      <c r="AV117" s="472"/>
      <c r="BE117" s="474"/>
      <c r="BF117" s="474"/>
      <c r="BG117" s="474"/>
      <c r="BH117" s="474"/>
      <c r="BI117" s="474"/>
      <c r="BJ117" s="474"/>
      <c r="BK117" s="474"/>
      <c r="BL117" s="474"/>
      <c r="BM117" s="474"/>
      <c r="BN117" s="474"/>
      <c r="BO117" s="474"/>
      <c r="BP117" s="474"/>
      <c r="BQ117" s="474"/>
      <c r="BR117" s="474"/>
      <c r="BS117" s="474"/>
      <c r="BT117" s="474"/>
      <c r="BU117" s="474"/>
      <c r="BV117" s="474"/>
      <c r="BW117" s="474"/>
      <c r="BX117" s="474"/>
      <c r="BY117" s="474"/>
      <c r="BZ117" s="474"/>
      <c r="CA117" s="474"/>
      <c r="CB117" s="474"/>
      <c r="CC117" s="475"/>
      <c r="CD117" s="475"/>
      <c r="CE117" s="475"/>
      <c r="CF117" s="474"/>
      <c r="CG117" s="474"/>
      <c r="CH117" s="474"/>
      <c r="CI117" s="474"/>
      <c r="CJ117" s="474"/>
      <c r="CK117" s="474"/>
    </row>
    <row r="118" spans="3:89" s="469" customFormat="1" ht="13.5" customHeight="1" x14ac:dyDescent="0.2">
      <c r="C118" s="490"/>
      <c r="D118" s="490"/>
      <c r="U118" s="466"/>
      <c r="Z118" s="513"/>
      <c r="AC118" s="491"/>
      <c r="AO118" s="466"/>
      <c r="AP118" s="466"/>
      <c r="AQ118" s="472"/>
      <c r="AR118" s="472"/>
      <c r="AS118" s="472"/>
      <c r="AT118" s="472"/>
      <c r="AU118" s="473"/>
      <c r="AV118" s="472"/>
      <c r="BE118" s="474"/>
      <c r="BF118" s="474"/>
      <c r="BG118" s="474"/>
      <c r="BH118" s="474"/>
      <c r="BI118" s="474"/>
      <c r="BJ118" s="474"/>
      <c r="BK118" s="474"/>
      <c r="BL118" s="474"/>
      <c r="BM118" s="474"/>
      <c r="BN118" s="474"/>
      <c r="BO118" s="474"/>
      <c r="BP118" s="474"/>
      <c r="BQ118" s="474"/>
      <c r="BR118" s="474"/>
      <c r="BS118" s="474"/>
      <c r="BT118" s="474"/>
      <c r="BU118" s="474"/>
      <c r="BV118" s="474"/>
      <c r="BW118" s="474"/>
      <c r="BX118" s="474"/>
      <c r="BY118" s="474"/>
      <c r="BZ118" s="474"/>
      <c r="CA118" s="474"/>
      <c r="CB118" s="474"/>
      <c r="CC118" s="475"/>
      <c r="CD118" s="475"/>
      <c r="CE118" s="475"/>
      <c r="CF118" s="474"/>
      <c r="CG118" s="474"/>
      <c r="CH118" s="474"/>
      <c r="CI118" s="474"/>
      <c r="CJ118" s="474"/>
      <c r="CK118" s="474"/>
    </row>
    <row r="119" spans="3:89" s="469" customFormat="1" ht="13.5" customHeight="1" x14ac:dyDescent="0.2">
      <c r="C119" s="490"/>
      <c r="D119" s="490"/>
      <c r="U119" s="466"/>
      <c r="Z119" s="513"/>
      <c r="AC119" s="491"/>
      <c r="AO119" s="466"/>
      <c r="AP119" s="466"/>
      <c r="AQ119" s="472"/>
      <c r="AR119" s="472"/>
      <c r="AS119" s="472"/>
      <c r="AT119" s="472"/>
      <c r="AU119" s="473"/>
      <c r="AV119" s="472"/>
      <c r="BE119" s="474"/>
      <c r="BF119" s="474"/>
      <c r="BG119" s="474"/>
      <c r="BH119" s="474"/>
      <c r="BI119" s="474"/>
      <c r="BJ119" s="474"/>
      <c r="BK119" s="474"/>
      <c r="BL119" s="474"/>
      <c r="BM119" s="474"/>
      <c r="BN119" s="474"/>
      <c r="BO119" s="474"/>
      <c r="BP119" s="474"/>
      <c r="BQ119" s="474"/>
      <c r="BR119" s="474"/>
      <c r="BS119" s="474"/>
      <c r="BT119" s="474"/>
      <c r="BU119" s="474"/>
      <c r="BV119" s="474"/>
      <c r="BW119" s="474"/>
      <c r="BX119" s="474"/>
      <c r="BY119" s="474"/>
      <c r="BZ119" s="474"/>
      <c r="CA119" s="474"/>
      <c r="CB119" s="474"/>
      <c r="CC119" s="475"/>
      <c r="CD119" s="475"/>
      <c r="CE119" s="475"/>
      <c r="CF119" s="474"/>
      <c r="CG119" s="474"/>
      <c r="CH119" s="474"/>
      <c r="CI119" s="474"/>
      <c r="CJ119" s="474"/>
      <c r="CK119" s="474"/>
    </row>
    <row r="120" spans="3:89" s="466" customFormat="1" ht="13.5" customHeight="1" x14ac:dyDescent="0.2">
      <c r="D120" s="470"/>
      <c r="Z120" s="507"/>
      <c r="AC120" s="471"/>
      <c r="AQ120" s="472"/>
      <c r="AR120" s="472"/>
      <c r="AS120" s="472"/>
      <c r="AT120" s="472"/>
      <c r="AU120" s="473"/>
      <c r="AV120" s="472"/>
      <c r="BE120" s="474"/>
      <c r="BF120" s="474"/>
      <c r="BG120" s="474"/>
      <c r="BH120" s="474"/>
      <c r="BI120" s="474"/>
      <c r="BJ120" s="474"/>
      <c r="BK120" s="474"/>
      <c r="BL120" s="474"/>
      <c r="BM120" s="474"/>
      <c r="BN120" s="474"/>
      <c r="BO120" s="474"/>
      <c r="BP120" s="474"/>
      <c r="BQ120" s="474"/>
      <c r="BR120" s="474"/>
      <c r="BS120" s="474"/>
      <c r="BT120" s="474"/>
      <c r="BU120" s="474"/>
      <c r="BV120" s="474"/>
      <c r="BW120" s="474"/>
      <c r="BX120" s="474"/>
      <c r="BY120" s="474"/>
      <c r="BZ120" s="474"/>
      <c r="CA120" s="474"/>
      <c r="CB120" s="474"/>
      <c r="CC120" s="475"/>
      <c r="CD120" s="475"/>
      <c r="CE120" s="475"/>
      <c r="CF120" s="474"/>
      <c r="CG120" s="474"/>
      <c r="CH120" s="474"/>
      <c r="CI120" s="474"/>
      <c r="CJ120" s="474"/>
      <c r="CK120" s="474"/>
    </row>
    <row r="121" spans="3:89" s="466" customFormat="1" ht="13.5" customHeight="1" x14ac:dyDescent="0.2">
      <c r="D121" s="470"/>
      <c r="Z121" s="507"/>
      <c r="AC121" s="471"/>
      <c r="AQ121" s="472"/>
      <c r="AR121" s="472"/>
      <c r="AS121" s="472"/>
      <c r="AT121" s="472"/>
      <c r="AU121" s="473"/>
      <c r="AV121" s="472"/>
      <c r="BE121" s="474"/>
      <c r="BF121" s="474"/>
      <c r="BG121" s="474"/>
      <c r="BH121" s="474"/>
      <c r="BI121" s="474"/>
      <c r="BJ121" s="474"/>
      <c r="BK121" s="474"/>
      <c r="BL121" s="474"/>
      <c r="BM121" s="474"/>
      <c r="BN121" s="474"/>
      <c r="BO121" s="474"/>
      <c r="BP121" s="474"/>
      <c r="BQ121" s="474"/>
      <c r="BR121" s="474"/>
      <c r="BS121" s="474"/>
      <c r="BT121" s="474"/>
      <c r="BU121" s="474"/>
      <c r="BV121" s="474"/>
      <c r="BW121" s="474"/>
      <c r="BX121" s="474"/>
      <c r="BY121" s="474"/>
      <c r="BZ121" s="474"/>
      <c r="CA121" s="474"/>
      <c r="CB121" s="474"/>
      <c r="CC121" s="475"/>
      <c r="CD121" s="475"/>
      <c r="CE121" s="475"/>
      <c r="CF121" s="474"/>
      <c r="CG121" s="474"/>
      <c r="CH121" s="474"/>
      <c r="CI121" s="474"/>
      <c r="CJ121" s="474"/>
      <c r="CK121" s="474"/>
    </row>
    <row r="122" spans="3:89" s="466" customFormat="1" ht="13.5" customHeight="1" x14ac:dyDescent="0.2">
      <c r="D122" s="470"/>
      <c r="Z122" s="507"/>
      <c r="AC122" s="471"/>
      <c r="AQ122" s="472"/>
      <c r="AR122" s="472"/>
      <c r="AS122" s="472"/>
      <c r="AT122" s="472"/>
      <c r="AU122" s="473"/>
      <c r="AV122" s="472"/>
      <c r="BE122" s="474"/>
      <c r="BF122" s="474"/>
      <c r="BG122" s="474"/>
      <c r="BH122" s="474"/>
      <c r="BI122" s="474"/>
      <c r="BJ122" s="474"/>
      <c r="BK122" s="474"/>
      <c r="BL122" s="474"/>
      <c r="BM122" s="474"/>
      <c r="BN122" s="474"/>
      <c r="BO122" s="474"/>
      <c r="BP122" s="474"/>
      <c r="BQ122" s="474"/>
      <c r="BR122" s="474"/>
      <c r="BS122" s="474"/>
      <c r="BT122" s="474"/>
      <c r="BU122" s="474"/>
      <c r="BV122" s="474"/>
      <c r="BW122" s="474"/>
      <c r="BX122" s="474"/>
      <c r="BY122" s="474"/>
      <c r="BZ122" s="474"/>
      <c r="CA122" s="474"/>
      <c r="CB122" s="474"/>
      <c r="CC122" s="475"/>
      <c r="CD122" s="475"/>
      <c r="CE122" s="475"/>
      <c r="CF122" s="474"/>
      <c r="CG122" s="474"/>
      <c r="CH122" s="474"/>
      <c r="CI122" s="474"/>
      <c r="CJ122" s="474"/>
      <c r="CK122" s="474"/>
    </row>
    <row r="123" spans="3:89" s="466" customFormat="1" ht="13.5" customHeight="1" x14ac:dyDescent="0.2">
      <c r="D123" s="470"/>
      <c r="Z123" s="507"/>
      <c r="AC123" s="471"/>
      <c r="AQ123" s="472"/>
      <c r="AR123" s="472"/>
      <c r="AS123" s="472"/>
      <c r="AT123" s="472"/>
      <c r="AU123" s="473"/>
      <c r="AV123" s="472"/>
      <c r="BE123" s="474"/>
      <c r="BF123" s="474"/>
      <c r="BG123" s="474"/>
      <c r="BH123" s="474"/>
      <c r="BI123" s="474"/>
      <c r="BJ123" s="474"/>
      <c r="BK123" s="474"/>
      <c r="BL123" s="474"/>
      <c r="BM123" s="474"/>
      <c r="BN123" s="474"/>
      <c r="BO123" s="474"/>
      <c r="BP123" s="474"/>
      <c r="BQ123" s="474"/>
      <c r="BR123" s="474"/>
      <c r="BS123" s="474"/>
      <c r="BT123" s="474"/>
      <c r="BU123" s="474"/>
      <c r="BV123" s="474"/>
      <c r="BW123" s="474"/>
      <c r="BX123" s="474"/>
      <c r="BY123" s="474"/>
      <c r="BZ123" s="474"/>
      <c r="CA123" s="474"/>
      <c r="CB123" s="474"/>
      <c r="CC123" s="475"/>
      <c r="CD123" s="475"/>
      <c r="CE123" s="475"/>
      <c r="CF123" s="474"/>
      <c r="CG123" s="474"/>
      <c r="CH123" s="474"/>
      <c r="CI123" s="474"/>
      <c r="CJ123" s="474"/>
      <c r="CK123" s="474"/>
    </row>
    <row r="124" spans="3:89" s="466" customFormat="1" ht="13.5" customHeight="1" x14ac:dyDescent="0.2">
      <c r="D124" s="470"/>
      <c r="Z124" s="507"/>
      <c r="AC124" s="471"/>
      <c r="AQ124" s="472"/>
      <c r="AR124" s="472"/>
      <c r="AS124" s="472"/>
      <c r="AT124" s="472"/>
      <c r="AU124" s="473"/>
      <c r="AV124" s="472"/>
      <c r="BE124" s="474"/>
      <c r="BF124" s="474"/>
      <c r="BG124" s="474"/>
      <c r="BH124" s="474"/>
      <c r="BI124" s="474"/>
      <c r="BJ124" s="474"/>
      <c r="BK124" s="474"/>
      <c r="BL124" s="474"/>
      <c r="BM124" s="474"/>
      <c r="BN124" s="474"/>
      <c r="BO124" s="474"/>
      <c r="BP124" s="474"/>
      <c r="BQ124" s="474"/>
      <c r="BR124" s="474"/>
      <c r="BS124" s="474"/>
      <c r="BT124" s="474"/>
      <c r="BU124" s="474"/>
      <c r="BV124" s="474"/>
      <c r="BW124" s="474"/>
      <c r="BX124" s="474"/>
      <c r="BY124" s="474"/>
      <c r="BZ124" s="474"/>
      <c r="CA124" s="474"/>
      <c r="CB124" s="474"/>
      <c r="CC124" s="475"/>
      <c r="CD124" s="475"/>
      <c r="CE124" s="475"/>
      <c r="CF124" s="474"/>
      <c r="CG124" s="474"/>
      <c r="CH124" s="474"/>
      <c r="CI124" s="474"/>
      <c r="CJ124" s="474"/>
      <c r="CK124" s="474"/>
    </row>
    <row r="125" spans="3:89" s="466" customFormat="1" ht="13.5" customHeight="1" x14ac:dyDescent="0.2">
      <c r="D125" s="470"/>
      <c r="Z125" s="507"/>
      <c r="AC125" s="471"/>
      <c r="AQ125" s="472"/>
      <c r="AR125" s="472"/>
      <c r="AS125" s="472"/>
      <c r="AT125" s="472"/>
      <c r="AU125" s="473"/>
      <c r="AV125" s="472"/>
      <c r="BE125" s="474"/>
      <c r="BF125" s="474"/>
      <c r="BG125" s="474"/>
      <c r="BH125" s="474"/>
      <c r="BI125" s="474"/>
      <c r="BJ125" s="474"/>
      <c r="BK125" s="474"/>
      <c r="BL125" s="474"/>
      <c r="BM125" s="474"/>
      <c r="BN125" s="474"/>
      <c r="BO125" s="474"/>
      <c r="BP125" s="474"/>
      <c r="BQ125" s="474"/>
      <c r="BR125" s="474"/>
      <c r="BS125" s="474"/>
      <c r="BT125" s="474"/>
      <c r="BU125" s="474"/>
      <c r="BV125" s="474"/>
      <c r="BW125" s="474"/>
      <c r="BX125" s="474"/>
      <c r="BY125" s="474"/>
      <c r="BZ125" s="474"/>
      <c r="CA125" s="474"/>
      <c r="CB125" s="474"/>
      <c r="CC125" s="475"/>
      <c r="CD125" s="475"/>
      <c r="CE125" s="475"/>
      <c r="CF125" s="474"/>
      <c r="CG125" s="474"/>
      <c r="CH125" s="474"/>
      <c r="CI125" s="474"/>
      <c r="CJ125" s="474"/>
      <c r="CK125" s="474"/>
    </row>
    <row r="126" spans="3:89" s="466" customFormat="1" ht="13.5" customHeight="1" x14ac:dyDescent="0.2">
      <c r="D126" s="470"/>
      <c r="Z126" s="507"/>
      <c r="AC126" s="471"/>
      <c r="AQ126" s="472"/>
      <c r="AR126" s="472"/>
      <c r="AS126" s="472"/>
      <c r="AT126" s="472"/>
      <c r="AU126" s="473"/>
      <c r="AV126" s="472"/>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c r="CA126" s="474"/>
      <c r="CB126" s="474"/>
      <c r="CC126" s="475"/>
      <c r="CD126" s="475"/>
      <c r="CE126" s="475"/>
      <c r="CF126" s="474"/>
      <c r="CG126" s="474"/>
      <c r="CH126" s="474"/>
      <c r="CI126" s="474"/>
      <c r="CJ126" s="474"/>
      <c r="CK126" s="474"/>
    </row>
    <row r="127" spans="3:89" s="466" customFormat="1" ht="13.5" customHeight="1" x14ac:dyDescent="0.2">
      <c r="D127" s="470"/>
      <c r="Z127" s="507"/>
      <c r="AC127" s="471"/>
      <c r="AQ127" s="472"/>
      <c r="AR127" s="472"/>
      <c r="AS127" s="472"/>
      <c r="AT127" s="472"/>
      <c r="AU127" s="473"/>
      <c r="AV127" s="472"/>
      <c r="BE127" s="474"/>
      <c r="BF127" s="474"/>
      <c r="BG127" s="474"/>
      <c r="BH127" s="474"/>
      <c r="BI127" s="474"/>
      <c r="BJ127" s="474"/>
      <c r="BK127" s="474"/>
      <c r="BL127" s="474"/>
      <c r="BM127" s="474"/>
      <c r="BN127" s="474"/>
      <c r="BO127" s="474"/>
      <c r="BP127" s="474"/>
      <c r="BQ127" s="474"/>
      <c r="BR127" s="474"/>
      <c r="BS127" s="474"/>
      <c r="BT127" s="474"/>
      <c r="BU127" s="474"/>
      <c r="BV127" s="474"/>
      <c r="BW127" s="474"/>
      <c r="BX127" s="474"/>
      <c r="BY127" s="474"/>
      <c r="BZ127" s="474"/>
      <c r="CA127" s="474"/>
      <c r="CB127" s="474"/>
      <c r="CC127" s="475"/>
      <c r="CD127" s="475"/>
      <c r="CE127" s="475"/>
      <c r="CF127" s="474"/>
      <c r="CG127" s="474"/>
      <c r="CH127" s="474"/>
      <c r="CI127" s="474"/>
      <c r="CJ127" s="474"/>
      <c r="CK127" s="474"/>
    </row>
    <row r="128" spans="3:89" s="466" customFormat="1" ht="13.5" customHeight="1" x14ac:dyDescent="0.2">
      <c r="D128" s="470"/>
      <c r="Z128" s="507"/>
      <c r="AC128" s="471"/>
      <c r="AQ128" s="472"/>
      <c r="AR128" s="472"/>
      <c r="AS128" s="472"/>
      <c r="AT128" s="472"/>
      <c r="AU128" s="473"/>
      <c r="AV128" s="472"/>
      <c r="BE128" s="474"/>
      <c r="BF128" s="474"/>
      <c r="BG128" s="474"/>
      <c r="BH128" s="474"/>
      <c r="BI128" s="474"/>
      <c r="BJ128" s="474"/>
      <c r="BK128" s="474"/>
      <c r="BL128" s="474"/>
      <c r="BM128" s="474"/>
      <c r="BN128" s="474"/>
      <c r="BO128" s="474"/>
      <c r="BP128" s="474"/>
      <c r="BQ128" s="474"/>
      <c r="BR128" s="474"/>
      <c r="BS128" s="474"/>
      <c r="BT128" s="474"/>
      <c r="BU128" s="474"/>
      <c r="BV128" s="474"/>
      <c r="BW128" s="474"/>
      <c r="BX128" s="474"/>
      <c r="BY128" s="474"/>
      <c r="BZ128" s="474"/>
      <c r="CA128" s="474"/>
      <c r="CB128" s="474"/>
      <c r="CC128" s="475"/>
      <c r="CD128" s="475"/>
      <c r="CE128" s="475"/>
      <c r="CF128" s="474"/>
      <c r="CG128" s="474"/>
      <c r="CH128" s="474"/>
      <c r="CI128" s="474"/>
      <c r="CJ128" s="474"/>
      <c r="CK128" s="474"/>
    </row>
    <row r="129" spans="4:89" s="466" customFormat="1" ht="13.5" customHeight="1" x14ac:dyDescent="0.2">
      <c r="D129" s="470"/>
      <c r="Z129" s="507"/>
      <c r="AC129" s="471"/>
      <c r="AQ129" s="472"/>
      <c r="AR129" s="472"/>
      <c r="AS129" s="472"/>
      <c r="AT129" s="472"/>
      <c r="AU129" s="473"/>
      <c r="AV129" s="472"/>
      <c r="BE129" s="474"/>
      <c r="BF129" s="474"/>
      <c r="BG129" s="474"/>
      <c r="BH129" s="474"/>
      <c r="BI129" s="474"/>
      <c r="BJ129" s="474"/>
      <c r="BK129" s="474"/>
      <c r="BL129" s="474"/>
      <c r="BM129" s="474"/>
      <c r="BN129" s="474"/>
      <c r="BO129" s="474"/>
      <c r="BP129" s="474"/>
      <c r="BQ129" s="474"/>
      <c r="BR129" s="474"/>
      <c r="BS129" s="474"/>
      <c r="BT129" s="474"/>
      <c r="BU129" s="474"/>
      <c r="BV129" s="474"/>
      <c r="BW129" s="474"/>
      <c r="BX129" s="474"/>
      <c r="BY129" s="474"/>
      <c r="BZ129" s="474"/>
      <c r="CA129" s="474"/>
      <c r="CB129" s="474"/>
      <c r="CC129" s="475"/>
      <c r="CD129" s="475"/>
      <c r="CE129" s="475"/>
      <c r="CF129" s="474"/>
      <c r="CG129" s="474"/>
      <c r="CH129" s="474"/>
      <c r="CI129" s="474"/>
      <c r="CJ129" s="474"/>
      <c r="CK129" s="474"/>
    </row>
    <row r="130" spans="4:89" s="466" customFormat="1" ht="13.5" customHeight="1" x14ac:dyDescent="0.2">
      <c r="D130" s="470"/>
      <c r="Z130" s="507"/>
      <c r="AC130" s="471"/>
      <c r="AQ130" s="472"/>
      <c r="AR130" s="472"/>
      <c r="AS130" s="472"/>
      <c r="AT130" s="472"/>
      <c r="AU130" s="473"/>
      <c r="AV130" s="472"/>
      <c r="BE130" s="474"/>
      <c r="BF130" s="474"/>
      <c r="BG130" s="474"/>
      <c r="BH130" s="474"/>
      <c r="BI130" s="474"/>
      <c r="BJ130" s="474"/>
      <c r="BK130" s="474"/>
      <c r="BL130" s="474"/>
      <c r="BM130" s="474"/>
      <c r="BN130" s="474"/>
      <c r="BO130" s="474"/>
      <c r="BP130" s="474"/>
      <c r="BQ130" s="474"/>
      <c r="BR130" s="474"/>
      <c r="BS130" s="474"/>
      <c r="BT130" s="474"/>
      <c r="BU130" s="474"/>
      <c r="BV130" s="474"/>
      <c r="BW130" s="474"/>
      <c r="BX130" s="474"/>
      <c r="BY130" s="474"/>
      <c r="BZ130" s="474"/>
      <c r="CA130" s="474"/>
      <c r="CB130" s="474"/>
      <c r="CC130" s="475"/>
      <c r="CD130" s="475"/>
      <c r="CE130" s="475"/>
      <c r="CF130" s="474"/>
      <c r="CG130" s="474"/>
      <c r="CH130" s="474"/>
      <c r="CI130" s="474"/>
      <c r="CJ130" s="474"/>
      <c r="CK130" s="474"/>
    </row>
    <row r="131" spans="4:89" s="466" customFormat="1" ht="13.5" customHeight="1" x14ac:dyDescent="0.2">
      <c r="D131" s="470"/>
      <c r="Z131" s="507"/>
      <c r="AC131" s="471"/>
      <c r="AQ131" s="472"/>
      <c r="AR131" s="472"/>
      <c r="AS131" s="472"/>
      <c r="AT131" s="472"/>
      <c r="AU131" s="473"/>
      <c r="AV131" s="472"/>
      <c r="BE131" s="474"/>
      <c r="BF131" s="474"/>
      <c r="BG131" s="474"/>
      <c r="BH131" s="474"/>
      <c r="BI131" s="474"/>
      <c r="BJ131" s="474"/>
      <c r="BK131" s="474"/>
      <c r="BL131" s="474"/>
      <c r="BM131" s="474"/>
      <c r="BN131" s="474"/>
      <c r="BO131" s="474"/>
      <c r="BP131" s="474"/>
      <c r="BQ131" s="474"/>
      <c r="BR131" s="474"/>
      <c r="BS131" s="474"/>
      <c r="BT131" s="474"/>
      <c r="BU131" s="474"/>
      <c r="BV131" s="474"/>
      <c r="BW131" s="474"/>
      <c r="BX131" s="474"/>
      <c r="BY131" s="474"/>
      <c r="BZ131" s="474"/>
      <c r="CA131" s="474"/>
      <c r="CB131" s="474"/>
      <c r="CC131" s="475"/>
      <c r="CD131" s="475"/>
      <c r="CE131" s="475"/>
      <c r="CF131" s="474"/>
      <c r="CG131" s="474"/>
      <c r="CH131" s="474"/>
      <c r="CI131" s="474"/>
      <c r="CJ131" s="474"/>
      <c r="CK131" s="474"/>
    </row>
    <row r="132" spans="4:89" s="466" customFormat="1" ht="13.5" customHeight="1" x14ac:dyDescent="0.2">
      <c r="D132" s="470" t="b">
        <f>'wgl tot'!CC15=DATE(E125+61,E126+6,E127)</f>
        <v>0</v>
      </c>
      <c r="Z132" s="507"/>
      <c r="AC132" s="471"/>
      <c r="AQ132" s="472"/>
      <c r="AR132" s="472"/>
      <c r="AS132" s="472"/>
      <c r="AT132" s="472"/>
      <c r="AU132" s="473"/>
      <c r="AV132" s="472"/>
      <c r="BE132" s="474"/>
      <c r="BF132" s="474"/>
      <c r="BG132" s="474"/>
      <c r="BH132" s="474"/>
      <c r="BI132" s="474"/>
      <c r="BJ132" s="474"/>
      <c r="BK132" s="474"/>
      <c r="BL132" s="474"/>
      <c r="BM132" s="474"/>
      <c r="BN132" s="474"/>
      <c r="BO132" s="474"/>
      <c r="BP132" s="474"/>
      <c r="BQ132" s="474"/>
      <c r="BR132" s="474"/>
      <c r="BS132" s="474"/>
      <c r="BT132" s="474"/>
      <c r="BU132" s="474"/>
      <c r="BV132" s="474"/>
      <c r="BW132" s="474"/>
      <c r="BX132" s="474"/>
      <c r="BY132" s="474"/>
      <c r="BZ132" s="474"/>
      <c r="CA132" s="474"/>
      <c r="CB132" s="474"/>
      <c r="CC132" s="475"/>
      <c r="CD132" s="475"/>
      <c r="CE132" s="475"/>
      <c r="CF132" s="474"/>
      <c r="CG132" s="474"/>
      <c r="CH132" s="474"/>
      <c r="CI132" s="474"/>
      <c r="CJ132" s="474"/>
      <c r="CK132" s="474"/>
    </row>
    <row r="133" spans="4:89" s="466" customFormat="1" ht="13.5" customHeight="1" x14ac:dyDescent="0.2">
      <c r="D133" s="470"/>
      <c r="Z133" s="507"/>
      <c r="AC133" s="471"/>
      <c r="AQ133" s="472"/>
      <c r="AR133" s="472"/>
      <c r="AS133" s="472"/>
      <c r="AT133" s="472"/>
      <c r="AU133" s="473"/>
      <c r="AV133" s="472"/>
      <c r="BE133" s="474"/>
      <c r="BF133" s="474"/>
      <c r="BG133" s="474"/>
      <c r="BH133" s="474"/>
      <c r="BI133" s="474"/>
      <c r="BJ133" s="474"/>
      <c r="BK133" s="474"/>
      <c r="BL133" s="474"/>
      <c r="BM133" s="474"/>
      <c r="BN133" s="474"/>
      <c r="BO133" s="474"/>
      <c r="BP133" s="474"/>
      <c r="BQ133" s="474"/>
      <c r="BR133" s="474"/>
      <c r="BS133" s="474"/>
      <c r="BT133" s="474"/>
      <c r="BU133" s="474"/>
      <c r="BV133" s="474"/>
      <c r="BW133" s="474"/>
      <c r="BX133" s="474"/>
      <c r="BY133" s="474"/>
      <c r="BZ133" s="474"/>
      <c r="CA133" s="474"/>
      <c r="CB133" s="474"/>
      <c r="CC133" s="475"/>
      <c r="CD133" s="475"/>
      <c r="CE133" s="475"/>
      <c r="CF133" s="474"/>
      <c r="CG133" s="474"/>
      <c r="CH133" s="474"/>
      <c r="CI133" s="474"/>
      <c r="CJ133" s="474"/>
      <c r="CK133" s="474"/>
    </row>
    <row r="134" spans="4:89" s="466" customFormat="1" ht="13.5" customHeight="1" x14ac:dyDescent="0.2">
      <c r="D134" s="470"/>
      <c r="Z134" s="507"/>
      <c r="AC134" s="471"/>
      <c r="AQ134" s="472"/>
      <c r="AR134" s="472"/>
      <c r="AS134" s="472"/>
      <c r="AT134" s="472"/>
      <c r="AU134" s="473"/>
      <c r="AV134" s="472"/>
      <c r="BE134" s="474"/>
      <c r="BF134" s="474"/>
      <c r="BG134" s="474"/>
      <c r="BH134" s="474"/>
      <c r="BI134" s="474"/>
      <c r="BJ134" s="474"/>
      <c r="BK134" s="474"/>
      <c r="BL134" s="474"/>
      <c r="BM134" s="474"/>
      <c r="BN134" s="474"/>
      <c r="BO134" s="474"/>
      <c r="BP134" s="474"/>
      <c r="BQ134" s="474"/>
      <c r="BR134" s="474"/>
      <c r="BS134" s="474"/>
      <c r="BT134" s="474"/>
      <c r="BU134" s="474"/>
      <c r="BV134" s="474"/>
      <c r="BW134" s="474"/>
      <c r="BX134" s="474"/>
      <c r="BY134" s="474"/>
      <c r="BZ134" s="474"/>
      <c r="CA134" s="474"/>
      <c r="CB134" s="474"/>
      <c r="CC134" s="475"/>
      <c r="CD134" s="475"/>
      <c r="CE134" s="475"/>
      <c r="CF134" s="474"/>
      <c r="CG134" s="474"/>
      <c r="CH134" s="474"/>
      <c r="CI134" s="474"/>
      <c r="CJ134" s="474"/>
      <c r="CK134" s="474"/>
    </row>
  </sheetData>
  <sheetProtection algorithmName="SHA-512" hashValue="EPhT8H7PwN90+trr/t+UBezK9et8kDQypJHEpPRWeEhPbfNUptIrY84wsyI6NENSeQ5koYfJiMjT2UiYuOf/Yg==" saltValue="8Rfm4pcrUyTf1m3D5V1dIg==" spinCount="100000" sheet="1" objects="1" scenarios="1"/>
  <mergeCells count="3">
    <mergeCell ref="AW9:AX9"/>
    <mergeCell ref="K9:L9"/>
    <mergeCell ref="F9:G9"/>
  </mergeCells>
  <phoneticPr fontId="0" type="noConversion"/>
  <dataValidations count="5">
    <dataValidation type="list" allowBlank="1" showInputMessage="1" showErrorMessage="1" sqref="BJ15:BJ69">
      <formula1>"LA,LB,LC,LD"</formula1>
    </dataValidation>
    <dataValidation type="list" allowBlank="1" showInputMessage="1" showErrorMessage="1" sqref="I15:J69 L15:M69">
      <formula1>"j,n"</formula1>
    </dataValidation>
    <dataValidation type="list" allowBlank="1" showInputMessage="1" showErrorMessage="1" sqref="K15:K69">
      <formula1>"leraar,directie,OOP S9"</formula1>
    </dataValidation>
    <dataValidation type="list" allowBlank="1" showInputMessage="1" showErrorMessage="1" sqref="N15:N69">
      <formula1>"1,2,3,4"</formula1>
    </dataValidation>
    <dataValidation type="list" allowBlank="1" showInputMessage="1" showErrorMessage="1" sqref="F15:F69">
      <formula1>$C$75:$C$117</formula1>
    </dataValidation>
  </dataValidations>
  <pageMargins left="0.70866141732283472" right="0.70866141732283472" top="0.74803149606299213" bottom="0.74803149606299213" header="0.31496062992125984" footer="0.31496062992125984"/>
  <pageSetup paperSize="9" scale="48" orientation="landscape" r:id="rId1"/>
  <colBreaks count="2" manualBreakCount="2">
    <brk id="27" min="1" max="72" man="1"/>
    <brk id="54" min="1" max="6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6"/>
  <sheetViews>
    <sheetView zoomScale="85" zoomScaleNormal="85" workbookViewId="0"/>
  </sheetViews>
  <sheetFormatPr defaultColWidth="9.140625" defaultRowHeight="12.75" x14ac:dyDescent="0.2"/>
  <cols>
    <col min="1" max="1" width="30.85546875" style="532" customWidth="1"/>
    <col min="2" max="22" width="10.7109375" style="532" customWidth="1"/>
    <col min="23" max="16384" width="9.140625" style="532"/>
  </cols>
  <sheetData>
    <row r="1" spans="1:22" x14ac:dyDescent="0.2">
      <c r="A1" s="532" t="s">
        <v>224</v>
      </c>
      <c r="B1" s="533">
        <v>2018</v>
      </c>
      <c r="C1" s="534" t="s">
        <v>396</v>
      </c>
    </row>
    <row r="2" spans="1:22" x14ac:dyDescent="0.2">
      <c r="A2" s="532" t="s">
        <v>225</v>
      </c>
      <c r="B2" s="535" t="s">
        <v>381</v>
      </c>
    </row>
    <row r="4" spans="1:22" x14ac:dyDescent="0.2">
      <c r="A4" s="536" t="s">
        <v>1</v>
      </c>
      <c r="B4" s="537">
        <v>42370</v>
      </c>
      <c r="C4" s="538"/>
      <c r="D4" s="538"/>
      <c r="E4" s="539"/>
      <c r="F4" s="538"/>
      <c r="J4" s="538"/>
      <c r="K4" s="538"/>
      <c r="L4" s="538"/>
      <c r="M4" s="538"/>
      <c r="N4" s="538"/>
      <c r="O4" s="540"/>
      <c r="P4" s="540"/>
      <c r="Q4" s="540"/>
      <c r="R4" s="540"/>
      <c r="S4" s="540"/>
      <c r="T4" s="540"/>
      <c r="U4" s="540"/>
    </row>
    <row r="5" spans="1:22" x14ac:dyDescent="0.2">
      <c r="A5" s="538" t="s">
        <v>2</v>
      </c>
      <c r="B5" s="541">
        <v>1</v>
      </c>
      <c r="C5" s="541">
        <v>2</v>
      </c>
      <c r="D5" s="541">
        <v>3</v>
      </c>
      <c r="E5" s="541">
        <v>4</v>
      </c>
      <c r="F5" s="541">
        <v>5</v>
      </c>
      <c r="G5" s="541">
        <v>6</v>
      </c>
      <c r="H5" s="541">
        <v>7</v>
      </c>
      <c r="I5" s="541">
        <v>8</v>
      </c>
      <c r="J5" s="541">
        <v>9</v>
      </c>
      <c r="K5" s="541">
        <v>10</v>
      </c>
      <c r="L5" s="541">
        <v>11</v>
      </c>
      <c r="M5" s="541">
        <v>12</v>
      </c>
      <c r="N5" s="541">
        <v>13</v>
      </c>
      <c r="O5" s="541">
        <v>14</v>
      </c>
      <c r="P5" s="541">
        <v>15</v>
      </c>
      <c r="Q5" s="541">
        <v>16</v>
      </c>
      <c r="R5" s="541">
        <v>17</v>
      </c>
      <c r="S5" s="541">
        <v>18</v>
      </c>
      <c r="T5" s="541">
        <v>19</v>
      </c>
      <c r="U5" s="541">
        <v>20</v>
      </c>
      <c r="V5" s="541" t="s">
        <v>27</v>
      </c>
    </row>
    <row r="6" spans="1:22" x14ac:dyDescent="0.2">
      <c r="A6" s="542" t="s">
        <v>11</v>
      </c>
      <c r="B6" s="543">
        <v>2537</v>
      </c>
      <c r="C6" s="543">
        <v>2651</v>
      </c>
      <c r="D6" s="543">
        <v>2777</v>
      </c>
      <c r="E6" s="543">
        <v>2916</v>
      </c>
      <c r="F6" s="543">
        <v>3033</v>
      </c>
      <c r="G6" s="543">
        <v>3154</v>
      </c>
      <c r="H6" s="543">
        <v>3268</v>
      </c>
      <c r="I6" s="543">
        <v>3381</v>
      </c>
      <c r="J6" s="543">
        <v>3503</v>
      </c>
      <c r="K6" s="543">
        <v>3616</v>
      </c>
      <c r="L6" s="543">
        <v>3725</v>
      </c>
      <c r="M6" s="543">
        <v>3837</v>
      </c>
      <c r="N6" s="543">
        <v>4026</v>
      </c>
      <c r="O6" s="543"/>
      <c r="P6" s="543"/>
      <c r="Q6" s="543"/>
      <c r="R6" s="543"/>
      <c r="S6" s="543"/>
      <c r="T6" s="543"/>
      <c r="U6" s="543"/>
      <c r="V6" s="544">
        <f t="shared" ref="V6:V47" si="0">COUNTA(B6:U6)</f>
        <v>13</v>
      </c>
    </row>
    <row r="7" spans="1:22" x14ac:dyDescent="0.2">
      <c r="A7" s="542" t="s">
        <v>12</v>
      </c>
      <c r="B7" s="543">
        <v>2591</v>
      </c>
      <c r="C7" s="543">
        <v>2719</v>
      </c>
      <c r="D7" s="543">
        <v>2853</v>
      </c>
      <c r="E7" s="543">
        <v>2975</v>
      </c>
      <c r="F7" s="543">
        <v>3094</v>
      </c>
      <c r="G7" s="543">
        <v>3209</v>
      </c>
      <c r="H7" s="543">
        <v>3322</v>
      </c>
      <c r="I7" s="543">
        <v>3446</v>
      </c>
      <c r="J7" s="543">
        <v>3556</v>
      </c>
      <c r="K7" s="543">
        <v>3668</v>
      </c>
      <c r="L7" s="543">
        <v>3780</v>
      </c>
      <c r="M7" s="543">
        <v>3902</v>
      </c>
      <c r="N7" s="543">
        <v>4026</v>
      </c>
      <c r="O7" s="543">
        <v>4145</v>
      </c>
      <c r="P7" s="543">
        <v>4261</v>
      </c>
      <c r="Q7" s="543">
        <v>4375</v>
      </c>
      <c r="R7" s="543">
        <v>4488</v>
      </c>
      <c r="S7" s="543">
        <v>4546</v>
      </c>
      <c r="T7" s="543"/>
      <c r="U7" s="543"/>
      <c r="V7" s="544">
        <f t="shared" si="0"/>
        <v>18</v>
      </c>
    </row>
    <row r="8" spans="1:22" x14ac:dyDescent="0.2">
      <c r="A8" s="542" t="s">
        <v>13</v>
      </c>
      <c r="B8" s="543">
        <v>2719</v>
      </c>
      <c r="C8" s="543">
        <v>2853</v>
      </c>
      <c r="D8" s="543">
        <v>3094</v>
      </c>
      <c r="E8" s="543">
        <v>3322</v>
      </c>
      <c r="F8" s="543">
        <v>3446</v>
      </c>
      <c r="G8" s="543">
        <v>3556</v>
      </c>
      <c r="H8" s="543">
        <v>3668</v>
      </c>
      <c r="I8" s="543">
        <v>3780</v>
      </c>
      <c r="J8" s="543">
        <v>3902</v>
      </c>
      <c r="K8" s="543">
        <v>4026</v>
      </c>
      <c r="L8" s="543">
        <v>4145</v>
      </c>
      <c r="M8" s="543">
        <v>4261</v>
      </c>
      <c r="N8" s="543">
        <v>4375</v>
      </c>
      <c r="O8" s="543">
        <v>4488</v>
      </c>
      <c r="P8" s="543">
        <v>4607</v>
      </c>
      <c r="Q8" s="543">
        <v>4723</v>
      </c>
      <c r="R8" s="543">
        <v>4834</v>
      </c>
      <c r="S8" s="543">
        <v>4951</v>
      </c>
      <c r="T8" s="543">
        <v>5097</v>
      </c>
      <c r="U8" s="543">
        <v>5168</v>
      </c>
      <c r="V8" s="544">
        <f t="shared" si="0"/>
        <v>20</v>
      </c>
    </row>
    <row r="9" spans="1:22" x14ac:dyDescent="0.2">
      <c r="A9" s="542" t="s">
        <v>14</v>
      </c>
      <c r="B9" s="543">
        <v>2853</v>
      </c>
      <c r="C9" s="543">
        <v>3094</v>
      </c>
      <c r="D9" s="543">
        <v>3322</v>
      </c>
      <c r="E9" s="543">
        <v>3556</v>
      </c>
      <c r="F9" s="543">
        <v>3780</v>
      </c>
      <c r="G9" s="543">
        <v>4026</v>
      </c>
      <c r="H9" s="543">
        <v>4145</v>
      </c>
      <c r="I9" s="543">
        <v>4261</v>
      </c>
      <c r="J9" s="543">
        <v>4375</v>
      </c>
      <c r="K9" s="543">
        <v>4488</v>
      </c>
      <c r="L9" s="543">
        <v>4607</v>
      </c>
      <c r="M9" s="543">
        <v>4723</v>
      </c>
      <c r="N9" s="543">
        <v>4834</v>
      </c>
      <c r="O9" s="543">
        <v>4951</v>
      </c>
      <c r="P9" s="543">
        <v>5097</v>
      </c>
      <c r="Q9" s="543">
        <v>5240</v>
      </c>
      <c r="R9" s="543">
        <v>5386</v>
      </c>
      <c r="S9" s="543">
        <v>5438</v>
      </c>
      <c r="T9" s="543">
        <v>5601</v>
      </c>
      <c r="U9" s="543"/>
      <c r="V9" s="544">
        <f t="shared" si="0"/>
        <v>19</v>
      </c>
    </row>
    <row r="10" spans="1:22" x14ac:dyDescent="0.2">
      <c r="A10" s="542" t="s">
        <v>3</v>
      </c>
      <c r="B10" s="543">
        <v>2771</v>
      </c>
      <c r="C10" s="543">
        <v>2879</v>
      </c>
      <c r="D10" s="543">
        <v>2990</v>
      </c>
      <c r="E10" s="543">
        <v>3097</v>
      </c>
      <c r="F10" s="543">
        <v>3206</v>
      </c>
      <c r="G10" s="543">
        <v>3316</v>
      </c>
      <c r="H10" s="543">
        <v>3425</v>
      </c>
      <c r="I10" s="543">
        <v>3534</v>
      </c>
      <c r="J10" s="543">
        <v>3642</v>
      </c>
      <c r="K10" s="543">
        <v>3751</v>
      </c>
      <c r="L10" s="543">
        <v>3862</v>
      </c>
      <c r="M10" s="543">
        <v>3970</v>
      </c>
      <c r="N10" s="543">
        <v>4081</v>
      </c>
      <c r="O10" s="543"/>
      <c r="P10" s="543"/>
      <c r="Q10" s="543"/>
      <c r="R10" s="543"/>
      <c r="S10" s="543"/>
      <c r="T10" s="543"/>
      <c r="U10" s="543"/>
      <c r="V10" s="544">
        <f t="shared" si="0"/>
        <v>13</v>
      </c>
    </row>
    <row r="11" spans="1:22" x14ac:dyDescent="0.2">
      <c r="A11" s="542" t="s">
        <v>4</v>
      </c>
      <c r="B11" s="543">
        <v>2879</v>
      </c>
      <c r="C11" s="543">
        <v>3097</v>
      </c>
      <c r="D11" s="543">
        <v>3316</v>
      </c>
      <c r="E11" s="543">
        <v>3425</v>
      </c>
      <c r="F11" s="543">
        <v>3534</v>
      </c>
      <c r="G11" s="543">
        <v>3642</v>
      </c>
      <c r="H11" s="543">
        <v>3751</v>
      </c>
      <c r="I11" s="543">
        <v>3862</v>
      </c>
      <c r="J11" s="543">
        <v>3970</v>
      </c>
      <c r="K11" s="543">
        <v>4081</v>
      </c>
      <c r="L11" s="543">
        <v>4191</v>
      </c>
      <c r="M11" s="543">
        <v>4298</v>
      </c>
      <c r="N11" s="543">
        <v>4408</v>
      </c>
      <c r="O11" s="543">
        <v>4515</v>
      </c>
      <c r="P11" s="543">
        <v>4627</v>
      </c>
      <c r="Q11" s="543"/>
      <c r="R11" s="543"/>
      <c r="S11" s="543"/>
      <c r="T11" s="543"/>
      <c r="U11" s="543"/>
      <c r="V11" s="544">
        <f t="shared" si="0"/>
        <v>15</v>
      </c>
    </row>
    <row r="12" spans="1:22" x14ac:dyDescent="0.2">
      <c r="A12" s="542" t="s">
        <v>5</v>
      </c>
      <c r="B12" s="543">
        <v>2879</v>
      </c>
      <c r="C12" s="543">
        <v>3097</v>
      </c>
      <c r="D12" s="543">
        <v>3316</v>
      </c>
      <c r="E12" s="543">
        <v>3425</v>
      </c>
      <c r="F12" s="543">
        <v>3534</v>
      </c>
      <c r="G12" s="543">
        <v>3642</v>
      </c>
      <c r="H12" s="543">
        <v>3751</v>
      </c>
      <c r="I12" s="543">
        <v>3862</v>
      </c>
      <c r="J12" s="543">
        <v>3970</v>
      </c>
      <c r="K12" s="543">
        <v>4081</v>
      </c>
      <c r="L12" s="543">
        <v>4191</v>
      </c>
      <c r="M12" s="543">
        <v>4298</v>
      </c>
      <c r="N12" s="543">
        <v>4408</v>
      </c>
      <c r="O12" s="543">
        <v>4515</v>
      </c>
      <c r="P12" s="543">
        <v>4627</v>
      </c>
      <c r="Q12" s="543">
        <v>4735</v>
      </c>
      <c r="R12" s="543">
        <v>4845</v>
      </c>
      <c r="S12" s="543"/>
      <c r="T12" s="543"/>
      <c r="U12" s="543"/>
      <c r="V12" s="544">
        <f t="shared" si="0"/>
        <v>17</v>
      </c>
    </row>
    <row r="13" spans="1:22" x14ac:dyDescent="0.2">
      <c r="A13" s="542" t="s">
        <v>6</v>
      </c>
      <c r="B13" s="543">
        <v>2990</v>
      </c>
      <c r="C13" s="543">
        <v>3316</v>
      </c>
      <c r="D13" s="543">
        <v>3534</v>
      </c>
      <c r="E13" s="543">
        <v>3751</v>
      </c>
      <c r="F13" s="543">
        <v>3970</v>
      </c>
      <c r="G13" s="543">
        <v>4081</v>
      </c>
      <c r="H13" s="543">
        <v>4191</v>
      </c>
      <c r="I13" s="543">
        <v>4298</v>
      </c>
      <c r="J13" s="543">
        <v>4408</v>
      </c>
      <c r="K13" s="543">
        <v>4515</v>
      </c>
      <c r="L13" s="543">
        <v>4627</v>
      </c>
      <c r="M13" s="543">
        <v>4735</v>
      </c>
      <c r="N13" s="543">
        <v>4845</v>
      </c>
      <c r="O13" s="543">
        <v>4952</v>
      </c>
      <c r="P13" s="543">
        <v>5062</v>
      </c>
      <c r="Q13" s="543">
        <v>5172</v>
      </c>
      <c r="R13" s="543"/>
      <c r="S13" s="543"/>
      <c r="T13" s="543"/>
      <c r="U13" s="543"/>
      <c r="V13" s="544">
        <f t="shared" si="0"/>
        <v>16</v>
      </c>
    </row>
    <row r="14" spans="1:22" x14ac:dyDescent="0.2">
      <c r="A14" s="542" t="s">
        <v>7</v>
      </c>
      <c r="B14" s="543">
        <v>2990</v>
      </c>
      <c r="C14" s="543">
        <v>3316</v>
      </c>
      <c r="D14" s="543">
        <v>3534</v>
      </c>
      <c r="E14" s="543">
        <v>3751</v>
      </c>
      <c r="F14" s="543">
        <v>3970</v>
      </c>
      <c r="G14" s="543">
        <v>4081</v>
      </c>
      <c r="H14" s="543">
        <v>4191</v>
      </c>
      <c r="I14" s="543">
        <v>4298</v>
      </c>
      <c r="J14" s="543">
        <v>4408</v>
      </c>
      <c r="K14" s="543">
        <v>4515</v>
      </c>
      <c r="L14" s="543">
        <v>4627</v>
      </c>
      <c r="M14" s="543">
        <v>4735</v>
      </c>
      <c r="N14" s="543">
        <v>4845</v>
      </c>
      <c r="O14" s="543">
        <v>4952</v>
      </c>
      <c r="P14" s="543">
        <v>5062</v>
      </c>
      <c r="Q14" s="543">
        <v>5172</v>
      </c>
      <c r="R14" s="543">
        <v>5281</v>
      </c>
      <c r="S14" s="543">
        <v>5389</v>
      </c>
      <c r="T14" s="543"/>
      <c r="U14" s="543"/>
      <c r="V14" s="544">
        <f t="shared" si="0"/>
        <v>18</v>
      </c>
    </row>
    <row r="15" spans="1:22" x14ac:dyDescent="0.2">
      <c r="A15" s="542" t="s">
        <v>8</v>
      </c>
      <c r="B15" s="543">
        <v>3035</v>
      </c>
      <c r="C15" s="543">
        <v>3262</v>
      </c>
      <c r="D15" s="543">
        <v>3494</v>
      </c>
      <c r="E15" s="543">
        <v>3716</v>
      </c>
      <c r="F15" s="543">
        <v>3962</v>
      </c>
      <c r="G15" s="543">
        <v>4081</v>
      </c>
      <c r="H15" s="543">
        <v>4195</v>
      </c>
      <c r="I15" s="543">
        <v>4311</v>
      </c>
      <c r="J15" s="543">
        <v>4421</v>
      </c>
      <c r="K15" s="543">
        <v>4540</v>
      </c>
      <c r="L15" s="543">
        <v>4655</v>
      </c>
      <c r="M15" s="543">
        <v>4767</v>
      </c>
      <c r="N15" s="543">
        <v>4882</v>
      </c>
      <c r="O15" s="543">
        <v>5027</v>
      </c>
      <c r="P15" s="543">
        <v>5171</v>
      </c>
      <c r="Q15" s="543">
        <v>5315</v>
      </c>
      <c r="R15" s="543">
        <v>5459</v>
      </c>
      <c r="S15" s="543">
        <v>5529</v>
      </c>
      <c r="T15" s="543"/>
      <c r="U15" s="543"/>
      <c r="V15" s="544">
        <f t="shared" si="0"/>
        <v>18</v>
      </c>
    </row>
    <row r="16" spans="1:22" x14ac:dyDescent="0.2">
      <c r="A16" s="542" t="s">
        <v>9</v>
      </c>
      <c r="B16" s="543">
        <v>3149</v>
      </c>
      <c r="C16" s="543">
        <v>3384</v>
      </c>
      <c r="D16" s="543">
        <v>3606</v>
      </c>
      <c r="E16" s="543">
        <v>3838</v>
      </c>
      <c r="F16" s="543">
        <v>4081</v>
      </c>
      <c r="G16" s="543">
        <v>4311</v>
      </c>
      <c r="H16" s="543">
        <v>4540</v>
      </c>
      <c r="I16" s="543">
        <v>4655</v>
      </c>
      <c r="J16" s="543">
        <v>4767</v>
      </c>
      <c r="K16" s="543">
        <v>4882</v>
      </c>
      <c r="L16" s="543">
        <v>5027</v>
      </c>
      <c r="M16" s="543">
        <v>5171</v>
      </c>
      <c r="N16" s="543">
        <v>5315</v>
      </c>
      <c r="O16" s="543">
        <v>5459</v>
      </c>
      <c r="P16" s="543">
        <v>5605</v>
      </c>
      <c r="Q16" s="543">
        <v>5758</v>
      </c>
      <c r="R16" s="543">
        <v>5915</v>
      </c>
      <c r="S16" s="543">
        <v>6076</v>
      </c>
      <c r="T16" s="543"/>
      <c r="U16" s="543"/>
      <c r="V16" s="544">
        <f t="shared" si="0"/>
        <v>18</v>
      </c>
    </row>
    <row r="17" spans="1:22" x14ac:dyDescent="0.2">
      <c r="A17" s="538" t="s">
        <v>87</v>
      </c>
      <c r="B17" s="543">
        <v>1565.4</v>
      </c>
      <c r="C17" s="543">
        <v>1571</v>
      </c>
      <c r="D17" s="543">
        <v>1636</v>
      </c>
      <c r="E17" s="543">
        <v>1666</v>
      </c>
      <c r="F17" s="543">
        <v>1700</v>
      </c>
      <c r="G17" s="543">
        <v>1735</v>
      </c>
      <c r="H17" s="543">
        <v>1780</v>
      </c>
      <c r="I17" s="543"/>
      <c r="J17" s="543"/>
      <c r="K17" s="543"/>
      <c r="L17" s="543"/>
      <c r="M17" s="543"/>
      <c r="N17" s="543"/>
      <c r="O17" s="543"/>
      <c r="P17" s="543"/>
      <c r="Q17" s="543"/>
      <c r="R17" s="543"/>
      <c r="S17" s="543"/>
      <c r="T17" s="543"/>
      <c r="U17" s="543"/>
      <c r="V17" s="544">
        <f t="shared" si="0"/>
        <v>7</v>
      </c>
    </row>
    <row r="18" spans="1:22" x14ac:dyDescent="0.2">
      <c r="A18" s="538" t="s">
        <v>88</v>
      </c>
      <c r="B18" s="543">
        <f>B17</f>
        <v>1565.4</v>
      </c>
      <c r="C18" s="543">
        <v>1604</v>
      </c>
      <c r="D18" s="543">
        <v>1666</v>
      </c>
      <c r="E18" s="543">
        <v>1735</v>
      </c>
      <c r="F18" s="543">
        <v>1780</v>
      </c>
      <c r="G18" s="543">
        <v>1833</v>
      </c>
      <c r="H18" s="543">
        <v>1896</v>
      </c>
      <c r="I18" s="543">
        <v>1957</v>
      </c>
      <c r="J18" s="543"/>
      <c r="K18" s="543"/>
      <c r="L18" s="543"/>
      <c r="M18" s="543"/>
      <c r="N18" s="543"/>
      <c r="O18" s="543"/>
      <c r="P18" s="543"/>
      <c r="Q18" s="543"/>
      <c r="R18" s="543"/>
      <c r="S18" s="543"/>
      <c r="T18" s="543"/>
      <c r="U18" s="543"/>
      <c r="V18" s="544">
        <f t="shared" si="0"/>
        <v>8</v>
      </c>
    </row>
    <row r="19" spans="1:22" x14ac:dyDescent="0.2">
      <c r="A19" s="538" t="s">
        <v>89</v>
      </c>
      <c r="B19" s="543">
        <f>B17</f>
        <v>1565.4</v>
      </c>
      <c r="C19" s="543">
        <v>1666</v>
      </c>
      <c r="D19" s="543">
        <v>1735</v>
      </c>
      <c r="E19" s="543">
        <v>1833</v>
      </c>
      <c r="F19" s="543">
        <v>1896</v>
      </c>
      <c r="G19" s="543">
        <v>1957</v>
      </c>
      <c r="H19" s="543">
        <v>2017</v>
      </c>
      <c r="I19" s="543"/>
      <c r="J19" s="543"/>
      <c r="K19" s="543"/>
      <c r="L19" s="543"/>
      <c r="M19" s="543"/>
      <c r="N19" s="543"/>
      <c r="O19" s="543"/>
      <c r="P19" s="543"/>
      <c r="Q19" s="543"/>
      <c r="R19" s="543"/>
      <c r="S19" s="543"/>
      <c r="T19" s="543"/>
      <c r="U19" s="543"/>
      <c r="V19" s="544">
        <f t="shared" si="0"/>
        <v>7</v>
      </c>
    </row>
    <row r="20" spans="1:22" x14ac:dyDescent="0.2">
      <c r="A20" s="542" t="s">
        <v>0</v>
      </c>
      <c r="B20" s="543">
        <v>2436</v>
      </c>
      <c r="C20" s="543">
        <v>2485</v>
      </c>
      <c r="D20" s="543">
        <v>2539</v>
      </c>
      <c r="E20" s="543">
        <v>2593</v>
      </c>
      <c r="F20" s="543">
        <v>2647</v>
      </c>
      <c r="G20" s="543">
        <v>2710</v>
      </c>
      <c r="H20" s="543">
        <v>2776</v>
      </c>
      <c r="I20" s="543">
        <v>2847</v>
      </c>
      <c r="J20" s="543">
        <v>2927</v>
      </c>
      <c r="K20" s="543">
        <v>3009</v>
      </c>
      <c r="L20" s="543">
        <v>3099</v>
      </c>
      <c r="M20" s="543">
        <v>3194</v>
      </c>
      <c r="N20" s="543">
        <v>3296</v>
      </c>
      <c r="O20" s="543">
        <v>3401</v>
      </c>
      <c r="P20" s="543">
        <v>3482</v>
      </c>
      <c r="Q20" s="543"/>
      <c r="R20" s="543"/>
      <c r="S20" s="543"/>
      <c r="T20" s="543"/>
      <c r="U20" s="543"/>
      <c r="V20" s="544">
        <f t="shared" si="0"/>
        <v>15</v>
      </c>
    </row>
    <row r="21" spans="1:22" x14ac:dyDescent="0.2">
      <c r="A21" s="542" t="s">
        <v>15</v>
      </c>
      <c r="B21" s="543">
        <v>2525</v>
      </c>
      <c r="C21" s="543">
        <v>2586</v>
      </c>
      <c r="D21" s="543">
        <v>2655</v>
      </c>
      <c r="E21" s="543">
        <v>2722</v>
      </c>
      <c r="F21" s="543">
        <v>2789</v>
      </c>
      <c r="G21" s="543">
        <v>2865</v>
      </c>
      <c r="H21" s="543">
        <v>2947</v>
      </c>
      <c r="I21" s="543">
        <v>3037</v>
      </c>
      <c r="J21" s="543">
        <v>3141</v>
      </c>
      <c r="K21" s="543">
        <v>3246</v>
      </c>
      <c r="L21" s="543">
        <v>3360</v>
      </c>
      <c r="M21" s="543">
        <v>3477</v>
      </c>
      <c r="N21" s="543">
        <v>3599</v>
      </c>
      <c r="O21" s="543">
        <v>3727</v>
      </c>
      <c r="P21" s="543">
        <v>3826</v>
      </c>
      <c r="Q21" s="543"/>
      <c r="R21" s="543"/>
      <c r="S21" s="543"/>
      <c r="T21" s="543"/>
      <c r="U21" s="543"/>
      <c r="V21" s="544">
        <f t="shared" si="0"/>
        <v>15</v>
      </c>
    </row>
    <row r="22" spans="1:22" x14ac:dyDescent="0.2">
      <c r="A22" s="542" t="s">
        <v>16</v>
      </c>
      <c r="B22" s="543">
        <v>2539</v>
      </c>
      <c r="C22" s="543">
        <v>2662</v>
      </c>
      <c r="D22" s="543">
        <v>2788</v>
      </c>
      <c r="E22" s="543">
        <v>2915</v>
      </c>
      <c r="F22" s="543">
        <v>3041</v>
      </c>
      <c r="G22" s="543">
        <v>3171</v>
      </c>
      <c r="H22" s="543">
        <v>3304</v>
      </c>
      <c r="I22" s="543">
        <v>3440</v>
      </c>
      <c r="J22" s="543">
        <v>3582</v>
      </c>
      <c r="K22" s="543">
        <v>3728</v>
      </c>
      <c r="L22" s="543">
        <v>3874</v>
      </c>
      <c r="M22" s="543">
        <v>4027</v>
      </c>
      <c r="N22" s="543">
        <v>4183</v>
      </c>
      <c r="O22" s="543">
        <v>4342</v>
      </c>
      <c r="P22" s="543">
        <v>4464</v>
      </c>
      <c r="Q22" s="543"/>
      <c r="R22" s="543"/>
      <c r="S22" s="543"/>
      <c r="T22" s="543"/>
      <c r="U22" s="543"/>
      <c r="V22" s="544">
        <f t="shared" si="0"/>
        <v>15</v>
      </c>
    </row>
    <row r="23" spans="1:22" x14ac:dyDescent="0.2">
      <c r="A23" s="542" t="s">
        <v>17</v>
      </c>
      <c r="B23" s="543">
        <v>2548</v>
      </c>
      <c r="C23" s="543">
        <v>2702</v>
      </c>
      <c r="D23" s="543">
        <v>2859</v>
      </c>
      <c r="E23" s="543">
        <v>3018</v>
      </c>
      <c r="F23" s="543">
        <v>3178</v>
      </c>
      <c r="G23" s="543">
        <v>3345</v>
      </c>
      <c r="H23" s="543">
        <v>3518</v>
      </c>
      <c r="I23" s="543">
        <v>3694</v>
      </c>
      <c r="J23" s="543">
        <v>3879</v>
      </c>
      <c r="K23" s="543">
        <v>4071</v>
      </c>
      <c r="L23" s="543">
        <v>4269</v>
      </c>
      <c r="M23" s="543">
        <v>4473</v>
      </c>
      <c r="N23" s="543">
        <v>4685</v>
      </c>
      <c r="O23" s="543">
        <v>4902</v>
      </c>
      <c r="P23" s="543">
        <v>5079</v>
      </c>
      <c r="Q23" s="543"/>
      <c r="R23" s="543"/>
      <c r="S23" s="543"/>
      <c r="T23" s="543"/>
      <c r="U23" s="543"/>
      <c r="V23" s="544">
        <f t="shared" si="0"/>
        <v>15</v>
      </c>
    </row>
    <row r="24" spans="1:22" x14ac:dyDescent="0.2">
      <c r="A24" s="542" t="s">
        <v>18</v>
      </c>
      <c r="B24" s="543">
        <v>3279</v>
      </c>
      <c r="C24" s="543">
        <v>3403</v>
      </c>
      <c r="D24" s="543">
        <v>3514</v>
      </c>
      <c r="E24" s="543">
        <v>3737</v>
      </c>
      <c r="F24" s="543">
        <v>3984</v>
      </c>
      <c r="G24" s="543">
        <v>4139</v>
      </c>
      <c r="H24" s="543">
        <v>4297</v>
      </c>
      <c r="I24" s="543">
        <v>4454</v>
      </c>
      <c r="J24" s="543">
        <v>4612</v>
      </c>
      <c r="K24" s="543">
        <v>4768</v>
      </c>
      <c r="L24" s="543">
        <v>4927</v>
      </c>
      <c r="M24" s="543">
        <v>5085</v>
      </c>
      <c r="N24" s="543">
        <v>5243</v>
      </c>
      <c r="O24" s="543">
        <v>5400</v>
      </c>
      <c r="P24" s="543">
        <v>5507</v>
      </c>
      <c r="Q24" s="543"/>
      <c r="R24" s="543"/>
      <c r="S24" s="543"/>
      <c r="T24" s="543"/>
      <c r="U24" s="543"/>
      <c r="V24" s="544">
        <f t="shared" si="0"/>
        <v>15</v>
      </c>
    </row>
    <row r="25" spans="1:22" x14ac:dyDescent="0.2">
      <c r="A25" s="538" t="s">
        <v>19</v>
      </c>
      <c r="B25" s="545">
        <f>B20/2</f>
        <v>1218</v>
      </c>
      <c r="C25" s="543"/>
      <c r="D25" s="543"/>
      <c r="E25" s="543"/>
      <c r="F25" s="543"/>
      <c r="G25" s="543"/>
      <c r="H25" s="543"/>
      <c r="I25" s="543"/>
      <c r="J25" s="543"/>
      <c r="K25" s="543"/>
      <c r="L25" s="543"/>
      <c r="M25" s="543"/>
      <c r="N25" s="543"/>
      <c r="O25" s="543"/>
      <c r="P25" s="543"/>
      <c r="Q25" s="543"/>
      <c r="R25" s="543"/>
      <c r="S25" s="543"/>
      <c r="T25" s="543"/>
      <c r="U25" s="543"/>
      <c r="V25" s="544">
        <f t="shared" si="0"/>
        <v>1</v>
      </c>
    </row>
    <row r="26" spans="1:22" x14ac:dyDescent="0.2">
      <c r="A26" s="538" t="s">
        <v>20</v>
      </c>
      <c r="B26" s="545">
        <f>B21/2</f>
        <v>1262.5</v>
      </c>
      <c r="C26" s="543"/>
      <c r="D26" s="543"/>
      <c r="E26" s="543"/>
      <c r="F26" s="543"/>
      <c r="G26" s="543"/>
      <c r="H26" s="543"/>
      <c r="I26" s="543"/>
      <c r="J26" s="543"/>
      <c r="K26" s="543"/>
      <c r="L26" s="543"/>
      <c r="M26" s="543"/>
      <c r="N26" s="543"/>
      <c r="O26" s="543"/>
      <c r="P26" s="543"/>
      <c r="Q26" s="543"/>
      <c r="R26" s="543"/>
      <c r="S26" s="543"/>
      <c r="T26" s="543"/>
      <c r="U26" s="543"/>
      <c r="V26" s="544">
        <f t="shared" si="0"/>
        <v>1</v>
      </c>
    </row>
    <row r="27" spans="1:22" x14ac:dyDescent="0.2">
      <c r="A27" s="538" t="s">
        <v>86</v>
      </c>
      <c r="B27" s="543">
        <v>2771</v>
      </c>
      <c r="C27" s="543">
        <v>2879</v>
      </c>
      <c r="D27" s="543">
        <v>2990</v>
      </c>
      <c r="E27" s="543">
        <v>3097</v>
      </c>
      <c r="F27" s="543">
        <v>3206</v>
      </c>
      <c r="G27" s="543">
        <v>3316</v>
      </c>
      <c r="H27" s="543">
        <v>3425</v>
      </c>
      <c r="I27" s="543">
        <v>3534</v>
      </c>
      <c r="J27" s="543">
        <v>3642</v>
      </c>
      <c r="K27" s="543">
        <v>3751</v>
      </c>
      <c r="L27" s="543">
        <v>3862</v>
      </c>
      <c r="M27" s="543"/>
      <c r="N27" s="543"/>
      <c r="O27" s="543"/>
      <c r="P27" s="543"/>
      <c r="Q27" s="543"/>
      <c r="R27" s="543"/>
      <c r="S27" s="543"/>
      <c r="T27" s="543"/>
      <c r="U27" s="543"/>
      <c r="V27" s="544">
        <f t="shared" si="0"/>
        <v>11</v>
      </c>
    </row>
    <row r="28" spans="1:22" x14ac:dyDescent="0.2">
      <c r="A28" s="538" t="s">
        <v>82</v>
      </c>
      <c r="B28" s="543">
        <v>2879</v>
      </c>
      <c r="C28" s="543">
        <v>3097</v>
      </c>
      <c r="D28" s="543">
        <v>3316</v>
      </c>
      <c r="E28" s="543">
        <v>3425</v>
      </c>
      <c r="F28" s="543">
        <v>3534</v>
      </c>
      <c r="G28" s="543">
        <v>3642</v>
      </c>
      <c r="H28" s="543">
        <v>3751</v>
      </c>
      <c r="I28" s="543">
        <v>3862</v>
      </c>
      <c r="J28" s="543">
        <v>3970</v>
      </c>
      <c r="K28" s="543">
        <v>4081</v>
      </c>
      <c r="L28" s="543"/>
      <c r="M28" s="543"/>
      <c r="N28" s="543"/>
      <c r="O28" s="543"/>
      <c r="P28" s="543"/>
      <c r="Q28" s="543"/>
      <c r="R28" s="543"/>
      <c r="S28" s="543"/>
      <c r="T28" s="543"/>
      <c r="U28" s="543"/>
      <c r="V28" s="544">
        <f t="shared" si="0"/>
        <v>10</v>
      </c>
    </row>
    <row r="29" spans="1:22" x14ac:dyDescent="0.2">
      <c r="A29" s="538" t="s">
        <v>83</v>
      </c>
      <c r="B29" s="543">
        <v>2879</v>
      </c>
      <c r="C29" s="543">
        <v>3097</v>
      </c>
      <c r="D29" s="543">
        <v>3316</v>
      </c>
      <c r="E29" s="543">
        <v>3424</v>
      </c>
      <c r="F29" s="543">
        <v>3534</v>
      </c>
      <c r="G29" s="543">
        <v>3641</v>
      </c>
      <c r="H29" s="543">
        <v>3751</v>
      </c>
      <c r="I29" s="543">
        <v>3862</v>
      </c>
      <c r="J29" s="543">
        <v>3970</v>
      </c>
      <c r="K29" s="543">
        <v>4081</v>
      </c>
      <c r="L29" s="543">
        <v>4191</v>
      </c>
      <c r="M29" s="543"/>
      <c r="N29" s="543"/>
      <c r="O29" s="543"/>
      <c r="P29" s="543"/>
      <c r="Q29" s="543"/>
      <c r="R29" s="543"/>
      <c r="S29" s="543"/>
      <c r="T29" s="543"/>
      <c r="U29" s="543"/>
      <c r="V29" s="544">
        <f t="shared" si="0"/>
        <v>11</v>
      </c>
    </row>
    <row r="30" spans="1:22" x14ac:dyDescent="0.2">
      <c r="A30" s="538" t="s">
        <v>84</v>
      </c>
      <c r="B30" s="543">
        <v>2990</v>
      </c>
      <c r="C30" s="543">
        <v>3316</v>
      </c>
      <c r="D30" s="543">
        <v>3534</v>
      </c>
      <c r="E30" s="543">
        <v>3751</v>
      </c>
      <c r="F30" s="543">
        <v>3970</v>
      </c>
      <c r="G30" s="543">
        <v>4081</v>
      </c>
      <c r="H30" s="543">
        <v>4191</v>
      </c>
      <c r="I30" s="543">
        <v>4298</v>
      </c>
      <c r="J30" s="543">
        <v>4408</v>
      </c>
      <c r="K30" s="543">
        <v>4515</v>
      </c>
      <c r="L30" s="543">
        <v>4627</v>
      </c>
      <c r="M30" s="543">
        <v>4735</v>
      </c>
      <c r="N30" s="543">
        <v>4845</v>
      </c>
      <c r="O30" s="543"/>
      <c r="P30" s="543"/>
      <c r="Q30" s="543"/>
      <c r="R30" s="543"/>
      <c r="S30" s="543"/>
      <c r="T30" s="543"/>
      <c r="U30" s="543"/>
      <c r="V30" s="544">
        <f t="shared" si="0"/>
        <v>13</v>
      </c>
    </row>
    <row r="31" spans="1:22" x14ac:dyDescent="0.2">
      <c r="A31" s="538" t="s">
        <v>85</v>
      </c>
      <c r="B31" s="543">
        <v>2990</v>
      </c>
      <c r="C31" s="543">
        <v>3316</v>
      </c>
      <c r="D31" s="543">
        <v>3534</v>
      </c>
      <c r="E31" s="543">
        <v>3751</v>
      </c>
      <c r="F31" s="543">
        <v>3970</v>
      </c>
      <c r="G31" s="543">
        <v>4081</v>
      </c>
      <c r="H31" s="543">
        <v>4191</v>
      </c>
      <c r="I31" s="543">
        <v>4298</v>
      </c>
      <c r="J31" s="543">
        <v>4408</v>
      </c>
      <c r="K31" s="543">
        <v>4515</v>
      </c>
      <c r="L31" s="543">
        <v>4627</v>
      </c>
      <c r="M31" s="543">
        <v>4735</v>
      </c>
      <c r="N31" s="543">
        <v>4845</v>
      </c>
      <c r="O31" s="543">
        <v>4952</v>
      </c>
      <c r="P31" s="543">
        <v>5062</v>
      </c>
      <c r="Q31" s="543"/>
      <c r="R31" s="543"/>
      <c r="S31" s="543"/>
      <c r="T31" s="543"/>
      <c r="U31" s="543"/>
      <c r="V31" s="544">
        <f t="shared" si="0"/>
        <v>15</v>
      </c>
    </row>
    <row r="32" spans="1:22" x14ac:dyDescent="0.2">
      <c r="A32" s="538">
        <v>1</v>
      </c>
      <c r="B32" s="543">
        <v>1565.4</v>
      </c>
      <c r="C32" s="543">
        <v>1571</v>
      </c>
      <c r="D32" s="543">
        <v>1636</v>
      </c>
      <c r="E32" s="543">
        <v>1666</v>
      </c>
      <c r="F32" s="543">
        <v>1700</v>
      </c>
      <c r="G32" s="543">
        <v>1735</v>
      </c>
      <c r="H32" s="543">
        <v>1780</v>
      </c>
      <c r="I32" s="543"/>
      <c r="J32" s="543"/>
      <c r="K32" s="543"/>
      <c r="L32" s="543"/>
      <c r="M32" s="543"/>
      <c r="N32" s="543"/>
      <c r="O32" s="543"/>
      <c r="P32" s="543"/>
      <c r="Q32" s="543"/>
      <c r="R32" s="543"/>
      <c r="S32" s="543"/>
      <c r="T32" s="543"/>
      <c r="U32" s="543"/>
      <c r="V32" s="544">
        <f t="shared" si="0"/>
        <v>7</v>
      </c>
    </row>
    <row r="33" spans="1:22" x14ac:dyDescent="0.2">
      <c r="A33" s="538">
        <v>2</v>
      </c>
      <c r="B33" s="543">
        <f>B32</f>
        <v>1565.4</v>
      </c>
      <c r="C33" s="543">
        <v>1604</v>
      </c>
      <c r="D33" s="543">
        <v>1666</v>
      </c>
      <c r="E33" s="543">
        <v>1735</v>
      </c>
      <c r="F33" s="543">
        <v>1780</v>
      </c>
      <c r="G33" s="543">
        <v>1833</v>
      </c>
      <c r="H33" s="543">
        <v>1896</v>
      </c>
      <c r="I33" s="543">
        <v>1957</v>
      </c>
      <c r="J33" s="543"/>
      <c r="K33" s="543"/>
      <c r="L33" s="543"/>
      <c r="M33" s="543"/>
      <c r="N33" s="543"/>
      <c r="O33" s="543"/>
      <c r="P33" s="543"/>
      <c r="Q33" s="543"/>
      <c r="R33" s="543"/>
      <c r="S33" s="543"/>
      <c r="T33" s="543"/>
      <c r="U33" s="543"/>
      <c r="V33" s="544">
        <f t="shared" si="0"/>
        <v>8</v>
      </c>
    </row>
    <row r="34" spans="1:22" x14ac:dyDescent="0.2">
      <c r="A34" s="538">
        <v>3</v>
      </c>
      <c r="B34" s="543">
        <f>B32</f>
        <v>1565.4</v>
      </c>
      <c r="C34" s="543">
        <v>1666</v>
      </c>
      <c r="D34" s="543">
        <v>1735</v>
      </c>
      <c r="E34" s="543">
        <v>1833</v>
      </c>
      <c r="F34" s="543">
        <v>1896</v>
      </c>
      <c r="G34" s="543">
        <v>1957</v>
      </c>
      <c r="H34" s="543">
        <v>2017</v>
      </c>
      <c r="I34" s="543">
        <v>2074</v>
      </c>
      <c r="J34" s="543">
        <v>2131</v>
      </c>
      <c r="K34" s="543"/>
      <c r="L34" s="543"/>
      <c r="M34" s="543"/>
      <c r="N34" s="543"/>
      <c r="O34" s="543"/>
      <c r="P34" s="543"/>
      <c r="Q34" s="543"/>
      <c r="R34" s="543"/>
      <c r="S34" s="543"/>
      <c r="T34" s="543"/>
      <c r="U34" s="543"/>
      <c r="V34" s="544">
        <f t="shared" si="0"/>
        <v>9</v>
      </c>
    </row>
    <row r="35" spans="1:22" x14ac:dyDescent="0.2">
      <c r="A35" s="538">
        <v>4</v>
      </c>
      <c r="B35" s="543">
        <v>1571</v>
      </c>
      <c r="C35" s="543">
        <v>1636</v>
      </c>
      <c r="D35" s="543">
        <v>1700</v>
      </c>
      <c r="E35" s="543">
        <v>1780</v>
      </c>
      <c r="F35" s="543">
        <v>1896</v>
      </c>
      <c r="G35" s="543">
        <v>1957</v>
      </c>
      <c r="H35" s="543">
        <v>2017</v>
      </c>
      <c r="I35" s="543">
        <v>2074</v>
      </c>
      <c r="J35" s="543">
        <v>2131</v>
      </c>
      <c r="K35" s="543">
        <v>2187</v>
      </c>
      <c r="L35" s="543">
        <v>2242</v>
      </c>
      <c r="M35" s="543"/>
      <c r="N35" s="543"/>
      <c r="O35" s="543"/>
      <c r="P35" s="543"/>
      <c r="Q35" s="543"/>
      <c r="R35" s="543"/>
      <c r="S35" s="543"/>
      <c r="T35" s="543"/>
      <c r="U35" s="543"/>
      <c r="V35" s="544">
        <f t="shared" si="0"/>
        <v>11</v>
      </c>
    </row>
    <row r="36" spans="1:22" x14ac:dyDescent="0.2">
      <c r="A36" s="538">
        <v>5</v>
      </c>
      <c r="B36" s="543">
        <v>1604</v>
      </c>
      <c r="C36" s="543">
        <v>1636</v>
      </c>
      <c r="D36" s="543">
        <v>1735</v>
      </c>
      <c r="E36" s="543">
        <v>1833</v>
      </c>
      <c r="F36" s="543">
        <v>1957</v>
      </c>
      <c r="G36" s="543">
        <v>2017</v>
      </c>
      <c r="H36" s="543">
        <v>2074</v>
      </c>
      <c r="I36" s="543">
        <v>2131</v>
      </c>
      <c r="J36" s="543">
        <v>2187</v>
      </c>
      <c r="K36" s="543">
        <v>2242</v>
      </c>
      <c r="L36" s="543">
        <v>2295</v>
      </c>
      <c r="M36" s="543">
        <v>2357</v>
      </c>
      <c r="N36" s="543"/>
      <c r="O36" s="543"/>
      <c r="P36" s="543"/>
      <c r="Q36" s="543"/>
      <c r="R36" s="543"/>
      <c r="S36" s="543"/>
      <c r="T36" s="543"/>
      <c r="U36" s="543"/>
      <c r="V36" s="544">
        <f t="shared" si="0"/>
        <v>12</v>
      </c>
    </row>
    <row r="37" spans="1:22" x14ac:dyDescent="0.2">
      <c r="A37" s="538">
        <v>6</v>
      </c>
      <c r="B37" s="543">
        <v>1666</v>
      </c>
      <c r="C37" s="543">
        <v>1735</v>
      </c>
      <c r="D37" s="543">
        <v>1957</v>
      </c>
      <c r="E37" s="543">
        <v>2074</v>
      </c>
      <c r="F37" s="543">
        <v>2131</v>
      </c>
      <c r="G37" s="543">
        <v>2187</v>
      </c>
      <c r="H37" s="543">
        <v>2242</v>
      </c>
      <c r="I37" s="543">
        <v>2295</v>
      </c>
      <c r="J37" s="543">
        <v>2357</v>
      </c>
      <c r="K37" s="543">
        <v>2414</v>
      </c>
      <c r="L37" s="543">
        <v>2470</v>
      </c>
      <c r="M37" s="543"/>
      <c r="N37" s="543"/>
      <c r="O37" s="543"/>
      <c r="P37" s="543"/>
      <c r="Q37" s="543"/>
      <c r="R37" s="543"/>
      <c r="S37" s="543"/>
      <c r="T37" s="543"/>
      <c r="U37" s="543"/>
      <c r="V37" s="544">
        <f t="shared" si="0"/>
        <v>11</v>
      </c>
    </row>
    <row r="38" spans="1:22" x14ac:dyDescent="0.2">
      <c r="A38" s="538">
        <v>7</v>
      </c>
      <c r="B38" s="543">
        <v>1780</v>
      </c>
      <c r="C38" s="543">
        <v>1833</v>
      </c>
      <c r="D38" s="543">
        <v>1957</v>
      </c>
      <c r="E38" s="543">
        <v>2187</v>
      </c>
      <c r="F38" s="543">
        <v>2295</v>
      </c>
      <c r="G38" s="543">
        <v>2357</v>
      </c>
      <c r="H38" s="543">
        <v>2414</v>
      </c>
      <c r="I38" s="543">
        <v>2470</v>
      </c>
      <c r="J38" s="543">
        <v>2527</v>
      </c>
      <c r="K38" s="543">
        <v>2589</v>
      </c>
      <c r="L38" s="543">
        <v>2653</v>
      </c>
      <c r="M38" s="543">
        <v>2723</v>
      </c>
      <c r="N38" s="543"/>
      <c r="O38" s="543"/>
      <c r="P38" s="543"/>
      <c r="Q38" s="543"/>
      <c r="R38" s="543"/>
      <c r="S38" s="543"/>
      <c r="T38" s="543"/>
      <c r="U38" s="543"/>
      <c r="V38" s="544">
        <f t="shared" si="0"/>
        <v>12</v>
      </c>
    </row>
    <row r="39" spans="1:22" x14ac:dyDescent="0.2">
      <c r="A39" s="538">
        <v>8</v>
      </c>
      <c r="B39" s="543">
        <v>2017</v>
      </c>
      <c r="C39" s="543">
        <v>2074</v>
      </c>
      <c r="D39" s="543">
        <v>2187</v>
      </c>
      <c r="E39" s="543">
        <v>2414</v>
      </c>
      <c r="F39" s="543">
        <v>2527</v>
      </c>
      <c r="G39" s="543">
        <v>2653</v>
      </c>
      <c r="H39" s="543">
        <v>2723</v>
      </c>
      <c r="I39" s="543">
        <v>2788</v>
      </c>
      <c r="J39" s="543">
        <v>2845</v>
      </c>
      <c r="K39" s="543">
        <v>2907</v>
      </c>
      <c r="L39" s="543">
        <v>2968</v>
      </c>
      <c r="M39" s="543">
        <v>3026</v>
      </c>
      <c r="N39" s="543">
        <v>3080</v>
      </c>
      <c r="O39" s="543"/>
      <c r="P39" s="543"/>
      <c r="Q39" s="543"/>
      <c r="R39" s="543"/>
      <c r="S39" s="543"/>
      <c r="T39" s="543"/>
      <c r="U39" s="543"/>
      <c r="V39" s="544">
        <f t="shared" si="0"/>
        <v>13</v>
      </c>
    </row>
    <row r="40" spans="1:22" x14ac:dyDescent="0.2">
      <c r="A40" s="538">
        <v>9</v>
      </c>
      <c r="B40" s="543">
        <v>2319</v>
      </c>
      <c r="C40" s="543">
        <v>2438</v>
      </c>
      <c r="D40" s="543">
        <v>2678</v>
      </c>
      <c r="E40" s="543">
        <v>2815</v>
      </c>
      <c r="F40" s="543">
        <v>2934</v>
      </c>
      <c r="G40" s="543">
        <v>3056</v>
      </c>
      <c r="H40" s="543">
        <v>3169</v>
      </c>
      <c r="I40" s="543">
        <v>3283</v>
      </c>
      <c r="J40" s="543">
        <v>3408</v>
      </c>
      <c r="K40" s="543">
        <v>3516</v>
      </c>
      <c r="L40" s="543"/>
      <c r="M40" s="543"/>
      <c r="N40" s="543"/>
      <c r="O40" s="543"/>
      <c r="P40" s="543"/>
      <c r="Q40" s="543"/>
      <c r="R40" s="543"/>
      <c r="S40" s="543"/>
      <c r="T40" s="543"/>
      <c r="U40" s="543"/>
      <c r="V40" s="544">
        <f t="shared" si="0"/>
        <v>10</v>
      </c>
    </row>
    <row r="41" spans="1:22" x14ac:dyDescent="0.2">
      <c r="A41" s="538">
        <v>10</v>
      </c>
      <c r="B41" s="543">
        <v>2319</v>
      </c>
      <c r="C41" s="543">
        <v>2553</v>
      </c>
      <c r="D41" s="543">
        <v>2678</v>
      </c>
      <c r="E41" s="543">
        <v>2815</v>
      </c>
      <c r="F41" s="543">
        <v>2934</v>
      </c>
      <c r="G41" s="543">
        <v>3056</v>
      </c>
      <c r="H41" s="543">
        <v>3169</v>
      </c>
      <c r="I41" s="543">
        <v>3283</v>
      </c>
      <c r="J41" s="543">
        <v>3408</v>
      </c>
      <c r="K41" s="543">
        <v>3516</v>
      </c>
      <c r="L41" s="543">
        <v>3630</v>
      </c>
      <c r="M41" s="543">
        <v>3740</v>
      </c>
      <c r="N41" s="543">
        <v>3864</v>
      </c>
      <c r="O41" s="543"/>
      <c r="P41" s="543"/>
      <c r="Q41" s="543"/>
      <c r="R41" s="543"/>
      <c r="S41" s="543"/>
      <c r="T41" s="543"/>
      <c r="U41" s="543"/>
      <c r="V41" s="544">
        <f t="shared" si="0"/>
        <v>13</v>
      </c>
    </row>
    <row r="42" spans="1:22" x14ac:dyDescent="0.2">
      <c r="A42" s="538">
        <v>11</v>
      </c>
      <c r="B42" s="543">
        <v>2438</v>
      </c>
      <c r="C42" s="543">
        <v>2553</v>
      </c>
      <c r="D42" s="543">
        <v>2678</v>
      </c>
      <c r="E42" s="543">
        <v>2815</v>
      </c>
      <c r="F42" s="543">
        <v>2934</v>
      </c>
      <c r="G42" s="543">
        <v>3056</v>
      </c>
      <c r="H42" s="543">
        <v>3169</v>
      </c>
      <c r="I42" s="543">
        <v>3408</v>
      </c>
      <c r="J42" s="543">
        <v>3516</v>
      </c>
      <c r="K42" s="543">
        <v>3630</v>
      </c>
      <c r="L42" s="543">
        <v>3740</v>
      </c>
      <c r="M42" s="543">
        <v>3864</v>
      </c>
      <c r="N42" s="543">
        <v>3986</v>
      </c>
      <c r="O42" s="543">
        <v>4107</v>
      </c>
      <c r="P42" s="543">
        <v>4220</v>
      </c>
      <c r="Q42" s="543">
        <v>4337</v>
      </c>
      <c r="R42" s="543">
        <v>4448</v>
      </c>
      <c r="S42" s="543">
        <v>4509</v>
      </c>
      <c r="T42" s="543"/>
      <c r="U42" s="543"/>
      <c r="V42" s="544">
        <f t="shared" si="0"/>
        <v>18</v>
      </c>
    </row>
    <row r="43" spans="1:22" x14ac:dyDescent="0.2">
      <c r="A43" s="538">
        <v>12</v>
      </c>
      <c r="B43" s="543">
        <v>3283</v>
      </c>
      <c r="C43" s="543">
        <v>3408</v>
      </c>
      <c r="D43" s="543">
        <v>3516</v>
      </c>
      <c r="E43" s="543">
        <v>3630</v>
      </c>
      <c r="F43" s="543">
        <v>3740</v>
      </c>
      <c r="G43" s="543">
        <v>3864</v>
      </c>
      <c r="H43" s="543">
        <v>4107</v>
      </c>
      <c r="I43" s="543">
        <v>4220</v>
      </c>
      <c r="J43" s="543">
        <v>4337</v>
      </c>
      <c r="K43" s="543">
        <v>4448</v>
      </c>
      <c r="L43" s="543">
        <v>4568</v>
      </c>
      <c r="M43" s="543">
        <v>4685</v>
      </c>
      <c r="N43" s="543">
        <v>4796</v>
      </c>
      <c r="O43" s="543">
        <v>4913</v>
      </c>
      <c r="P43" s="543">
        <v>5056</v>
      </c>
      <c r="Q43" s="543">
        <v>5130</v>
      </c>
      <c r="R43" s="543"/>
      <c r="S43" s="543"/>
      <c r="T43" s="543"/>
      <c r="U43" s="543"/>
      <c r="V43" s="544">
        <f t="shared" si="0"/>
        <v>16</v>
      </c>
    </row>
    <row r="44" spans="1:22" x14ac:dyDescent="0.2">
      <c r="A44" s="538">
        <v>13</v>
      </c>
      <c r="B44" s="543">
        <v>3986</v>
      </c>
      <c r="C44" s="543">
        <v>4107</v>
      </c>
      <c r="D44" s="543">
        <v>4220</v>
      </c>
      <c r="E44" s="543">
        <v>4337</v>
      </c>
      <c r="F44" s="543">
        <v>4448</v>
      </c>
      <c r="G44" s="543">
        <v>4685</v>
      </c>
      <c r="H44" s="543">
        <v>4796</v>
      </c>
      <c r="I44" s="543">
        <v>4913</v>
      </c>
      <c r="J44" s="543">
        <v>5056</v>
      </c>
      <c r="K44" s="543">
        <v>5202</v>
      </c>
      <c r="L44" s="543">
        <v>5348</v>
      </c>
      <c r="M44" s="543">
        <v>5491</v>
      </c>
      <c r="N44" s="543">
        <v>5563</v>
      </c>
      <c r="O44" s="543"/>
      <c r="P44" s="543"/>
      <c r="Q44" s="543"/>
      <c r="R44" s="543"/>
      <c r="S44" s="543"/>
      <c r="T44" s="543"/>
      <c r="U44" s="543"/>
      <c r="V44" s="544">
        <f t="shared" si="0"/>
        <v>13</v>
      </c>
    </row>
    <row r="45" spans="1:22" x14ac:dyDescent="0.2">
      <c r="A45" s="538">
        <v>14</v>
      </c>
      <c r="B45" s="543">
        <v>4568</v>
      </c>
      <c r="C45" s="543">
        <v>4685</v>
      </c>
      <c r="D45" s="543">
        <v>4913</v>
      </c>
      <c r="E45" s="543">
        <v>5056</v>
      </c>
      <c r="F45" s="543">
        <v>5202</v>
      </c>
      <c r="G45" s="543">
        <v>5348</v>
      </c>
      <c r="H45" s="543">
        <v>5491</v>
      </c>
      <c r="I45" s="543">
        <v>5638</v>
      </c>
      <c r="J45" s="543">
        <v>5793</v>
      </c>
      <c r="K45" s="543">
        <v>5949</v>
      </c>
      <c r="L45" s="543">
        <v>6111</v>
      </c>
      <c r="M45" s="543"/>
      <c r="N45" s="543"/>
      <c r="O45" s="543"/>
      <c r="P45" s="543"/>
      <c r="Q45" s="543"/>
      <c r="R45" s="543"/>
      <c r="S45" s="543"/>
      <c r="T45" s="543"/>
      <c r="U45" s="543"/>
      <c r="V45" s="544">
        <f t="shared" si="0"/>
        <v>11</v>
      </c>
    </row>
    <row r="46" spans="1:22" x14ac:dyDescent="0.2">
      <c r="A46" s="538">
        <v>15</v>
      </c>
      <c r="B46" s="543">
        <v>4796</v>
      </c>
      <c r="C46" s="543">
        <v>4913</v>
      </c>
      <c r="D46" s="543">
        <v>5056</v>
      </c>
      <c r="E46" s="543">
        <v>5348</v>
      </c>
      <c r="F46" s="543">
        <v>5491</v>
      </c>
      <c r="G46" s="543">
        <v>5638</v>
      </c>
      <c r="H46" s="543">
        <v>5793</v>
      </c>
      <c r="I46" s="543">
        <v>5949</v>
      </c>
      <c r="J46" s="543">
        <v>6111</v>
      </c>
      <c r="K46" s="543">
        <v>6305</v>
      </c>
      <c r="L46" s="543">
        <v>6508</v>
      </c>
      <c r="M46" s="543">
        <v>6715</v>
      </c>
      <c r="N46" s="543"/>
      <c r="O46" s="543"/>
      <c r="P46" s="543"/>
      <c r="Q46" s="543"/>
      <c r="R46" s="543"/>
      <c r="S46" s="543"/>
      <c r="T46" s="543"/>
      <c r="U46" s="543"/>
      <c r="V46" s="372">
        <f t="shared" si="0"/>
        <v>12</v>
      </c>
    </row>
    <row r="47" spans="1:22" x14ac:dyDescent="0.2">
      <c r="A47" s="538">
        <v>16</v>
      </c>
      <c r="B47" s="543">
        <v>5202</v>
      </c>
      <c r="C47" s="543">
        <v>5348</v>
      </c>
      <c r="D47" s="543">
        <v>5491</v>
      </c>
      <c r="E47" s="543">
        <v>5793</v>
      </c>
      <c r="F47" s="543">
        <v>5949</v>
      </c>
      <c r="G47" s="543">
        <v>6111</v>
      </c>
      <c r="H47" s="543">
        <v>6305</v>
      </c>
      <c r="I47" s="543">
        <v>6508</v>
      </c>
      <c r="J47" s="543">
        <v>6715</v>
      </c>
      <c r="K47" s="543">
        <v>6930</v>
      </c>
      <c r="L47" s="543">
        <v>7148</v>
      </c>
      <c r="M47" s="543">
        <v>7377</v>
      </c>
      <c r="N47" s="543"/>
      <c r="O47" s="543"/>
      <c r="P47" s="543"/>
      <c r="Q47" s="543"/>
      <c r="R47" s="543"/>
      <c r="S47" s="543"/>
      <c r="T47" s="543"/>
      <c r="U47" s="543"/>
      <c r="V47" s="372">
        <f t="shared" si="0"/>
        <v>12</v>
      </c>
    </row>
    <row r="51" spans="1:22" x14ac:dyDescent="0.2">
      <c r="A51" s="536" t="s">
        <v>43</v>
      </c>
      <c r="B51" s="546" t="str">
        <f>C1 &amp; B1</f>
        <v xml:space="preserve"> vanaf 1 januari 2018</v>
      </c>
      <c r="C51" s="538"/>
      <c r="D51" s="538"/>
      <c r="E51" s="538"/>
      <c r="F51" s="538"/>
      <c r="G51" s="538"/>
      <c r="H51" s="538"/>
      <c r="I51" s="538"/>
      <c r="J51" s="538"/>
      <c r="K51" s="538"/>
      <c r="L51" s="538"/>
      <c r="M51" s="538"/>
      <c r="N51" s="538"/>
      <c r="O51" s="538"/>
      <c r="P51" s="538"/>
      <c r="Q51" s="538"/>
      <c r="R51" s="538"/>
      <c r="S51" s="538"/>
      <c r="T51" s="538"/>
      <c r="U51" s="538"/>
      <c r="V51" s="538"/>
    </row>
    <row r="52" spans="1:22" x14ac:dyDescent="0.2">
      <c r="A52" s="536"/>
      <c r="B52" s="536"/>
      <c r="C52" s="538" t="s">
        <v>40</v>
      </c>
      <c r="D52" s="538" t="s">
        <v>41</v>
      </c>
      <c r="E52" s="538" t="s">
        <v>93</v>
      </c>
      <c r="F52" s="538" t="s">
        <v>94</v>
      </c>
      <c r="G52" s="538" t="s">
        <v>45</v>
      </c>
      <c r="H52" s="538" t="s">
        <v>48</v>
      </c>
      <c r="I52" s="538"/>
      <c r="J52" s="538" t="s">
        <v>379</v>
      </c>
      <c r="K52" s="538"/>
      <c r="L52" s="538"/>
      <c r="M52" s="538"/>
      <c r="N52" s="538"/>
      <c r="O52" s="538"/>
      <c r="P52" s="538"/>
      <c r="Q52" s="538"/>
      <c r="R52" s="538"/>
      <c r="S52" s="538"/>
      <c r="T52" s="538"/>
      <c r="U52" s="538"/>
      <c r="V52" s="538"/>
    </row>
    <row r="53" spans="1:22" x14ac:dyDescent="0.2">
      <c r="A53" s="547" t="s">
        <v>39</v>
      </c>
      <c r="B53" s="547">
        <v>1</v>
      </c>
      <c r="C53" s="548">
        <v>0.1603</v>
      </c>
      <c r="D53" s="549">
        <v>6.8699999999999997E-2</v>
      </c>
      <c r="E53" s="543">
        <v>13350</v>
      </c>
      <c r="F53" s="550">
        <f>+E53/12</f>
        <v>1112.5</v>
      </c>
      <c r="G53" s="538"/>
      <c r="H53" s="538"/>
      <c r="I53" s="538"/>
      <c r="J53" s="551" t="s">
        <v>375</v>
      </c>
      <c r="K53" s="538"/>
      <c r="L53" s="538"/>
      <c r="M53" s="538"/>
      <c r="N53" s="538"/>
      <c r="O53" s="538"/>
      <c r="P53" s="538"/>
      <c r="R53" s="538"/>
      <c r="T53" s="538"/>
      <c r="U53" s="538"/>
      <c r="V53" s="538"/>
    </row>
    <row r="54" spans="1:22" x14ac:dyDescent="0.2">
      <c r="A54" s="547" t="s">
        <v>190</v>
      </c>
      <c r="B54" s="547">
        <v>2</v>
      </c>
      <c r="C54" s="549">
        <v>3.5000000000000001E-3</v>
      </c>
      <c r="D54" s="549">
        <v>1.5E-3</v>
      </c>
      <c r="E54" s="543">
        <v>20450</v>
      </c>
      <c r="F54" s="550">
        <f>+E54/12</f>
        <v>1704.1666666666667</v>
      </c>
      <c r="G54" s="538"/>
      <c r="H54" s="538"/>
      <c r="I54" s="538"/>
      <c r="J54" s="538" t="s">
        <v>376</v>
      </c>
      <c r="K54" s="538"/>
      <c r="L54" s="538"/>
      <c r="M54" s="538"/>
      <c r="N54" s="538"/>
      <c r="O54" s="538"/>
      <c r="P54" s="538"/>
      <c r="R54" s="538"/>
      <c r="S54" s="538"/>
      <c r="T54" s="538"/>
      <c r="U54" s="538"/>
      <c r="V54" s="538"/>
    </row>
    <row r="55" spans="1:22" s="538" customFormat="1" x14ac:dyDescent="0.2">
      <c r="A55" s="547" t="s">
        <v>249</v>
      </c>
      <c r="B55" s="547">
        <v>3</v>
      </c>
      <c r="C55" s="548">
        <v>2.5999999999999999E-2</v>
      </c>
      <c r="D55" s="548">
        <v>0</v>
      </c>
      <c r="E55" s="552"/>
      <c r="F55" s="552"/>
      <c r="J55" s="538" t="s">
        <v>376</v>
      </c>
    </row>
    <row r="56" spans="1:22" s="538" customFormat="1" x14ac:dyDescent="0.2">
      <c r="A56" s="553" t="s">
        <v>322</v>
      </c>
      <c r="B56" s="553">
        <v>4</v>
      </c>
      <c r="C56" s="554">
        <v>6.7699999999999996E-2</v>
      </c>
      <c r="D56" s="555"/>
      <c r="E56" s="555"/>
      <c r="F56" s="555"/>
      <c r="G56" s="556">
        <v>54641</v>
      </c>
      <c r="H56" s="556">
        <v>4551.16</v>
      </c>
      <c r="J56" s="551" t="s">
        <v>380</v>
      </c>
      <c r="R56" s="557"/>
      <c r="S56" s="551"/>
    </row>
    <row r="57" spans="1:22" s="538" customFormat="1" x14ac:dyDescent="0.2">
      <c r="A57" s="553" t="s">
        <v>329</v>
      </c>
      <c r="B57" s="553">
        <v>5</v>
      </c>
      <c r="C57" s="554">
        <v>1.0200000000000001E-2</v>
      </c>
      <c r="D57" s="555"/>
      <c r="E57" s="555"/>
      <c r="F57" s="558"/>
      <c r="G57" s="550">
        <f>+G56</f>
        <v>54641</v>
      </c>
      <c r="H57" s="550">
        <f>H56</f>
        <v>4551.16</v>
      </c>
      <c r="J57" s="551" t="s">
        <v>373</v>
      </c>
      <c r="R57" s="557"/>
      <c r="S57" s="551"/>
    </row>
    <row r="58" spans="1:22" s="538" customFormat="1" x14ac:dyDescent="0.2">
      <c r="A58" s="553" t="s">
        <v>90</v>
      </c>
      <c r="B58" s="553">
        <v>6</v>
      </c>
      <c r="C58" s="548">
        <v>6.9000000000000006E-2</v>
      </c>
      <c r="D58" s="532"/>
      <c r="E58" s="552"/>
      <c r="F58" s="552"/>
      <c r="G58" s="550">
        <f>+G56</f>
        <v>54641</v>
      </c>
      <c r="H58" s="550">
        <f>H57</f>
        <v>4551.16</v>
      </c>
      <c r="J58" s="529" t="s">
        <v>374</v>
      </c>
      <c r="R58" s="557"/>
      <c r="S58" s="551"/>
    </row>
    <row r="59" spans="1:22" s="538" customFormat="1" x14ac:dyDescent="0.2">
      <c r="A59" s="553" t="s">
        <v>323</v>
      </c>
      <c r="B59" s="553">
        <v>7</v>
      </c>
      <c r="C59" s="548">
        <v>7.7999999999999996E-3</v>
      </c>
      <c r="D59" s="555"/>
      <c r="E59" s="555"/>
      <c r="F59" s="558"/>
      <c r="G59" s="550">
        <f>+G56</f>
        <v>54641</v>
      </c>
      <c r="H59" s="550">
        <f>H58</f>
        <v>4551.16</v>
      </c>
      <c r="J59" s="551" t="s">
        <v>380</v>
      </c>
      <c r="S59" s="551"/>
    </row>
    <row r="60" spans="1:22" s="538" customFormat="1" x14ac:dyDescent="0.2">
      <c r="A60" s="559" t="s">
        <v>191</v>
      </c>
      <c r="B60" s="559">
        <v>8</v>
      </c>
      <c r="C60" s="548">
        <v>5.8500000000000003E-2</v>
      </c>
      <c r="D60" s="560" t="s">
        <v>245</v>
      </c>
      <c r="E60" s="555"/>
      <c r="F60" s="555"/>
      <c r="G60" s="552"/>
      <c r="H60" s="552"/>
      <c r="J60" s="551" t="s">
        <v>378</v>
      </c>
    </row>
    <row r="61" spans="1:22" s="538" customFormat="1" x14ac:dyDescent="0.2">
      <c r="A61" s="559" t="s">
        <v>192</v>
      </c>
      <c r="B61" s="559"/>
      <c r="C61" s="548">
        <v>5.8500000000000003E-2</v>
      </c>
      <c r="D61" s="560" t="s">
        <v>246</v>
      </c>
      <c r="E61" s="555"/>
      <c r="F61" s="555"/>
      <c r="H61" s="552"/>
      <c r="J61" s="552" t="s">
        <v>376</v>
      </c>
      <c r="S61" s="561"/>
    </row>
    <row r="62" spans="1:22" s="538" customFormat="1" x14ac:dyDescent="0.2">
      <c r="A62" s="559" t="s">
        <v>344</v>
      </c>
      <c r="B62" s="559"/>
      <c r="C62" s="548">
        <v>2.2000000000000001E-3</v>
      </c>
      <c r="D62" s="560" t="s">
        <v>247</v>
      </c>
      <c r="E62" s="555"/>
      <c r="F62" s="555"/>
      <c r="H62" s="552"/>
      <c r="J62" s="552" t="s">
        <v>376</v>
      </c>
    </row>
    <row r="63" spans="1:22" s="538" customFormat="1" x14ac:dyDescent="0.2">
      <c r="A63" s="559" t="s">
        <v>244</v>
      </c>
      <c r="B63" s="559"/>
      <c r="C63" s="548">
        <v>0</v>
      </c>
      <c r="D63" s="560" t="s">
        <v>248</v>
      </c>
      <c r="E63" s="555"/>
      <c r="F63" s="555"/>
      <c r="H63" s="552"/>
      <c r="J63" s="552" t="s">
        <v>382</v>
      </c>
    </row>
    <row r="64" spans="1:22" s="538" customFormat="1" x14ac:dyDescent="0.2">
      <c r="A64" s="562" t="s">
        <v>75</v>
      </c>
      <c r="B64" s="562">
        <v>9</v>
      </c>
      <c r="C64" s="548">
        <v>5.2499999999999998E-2</v>
      </c>
      <c r="D64" s="555"/>
      <c r="E64" s="555"/>
      <c r="F64" s="555"/>
      <c r="H64" s="552"/>
      <c r="J64" s="561" t="s">
        <v>377</v>
      </c>
    </row>
    <row r="65" spans="1:19" s="538" customFormat="1" x14ac:dyDescent="0.2">
      <c r="B65" s="538" t="s">
        <v>182</v>
      </c>
      <c r="C65" s="557">
        <f>SUM(C53:C60)+C64</f>
        <v>0.45549999999999996</v>
      </c>
      <c r="D65" s="557">
        <f>SUM(D53:D64)</f>
        <v>7.0199999999999999E-2</v>
      </c>
      <c r="E65" s="557">
        <f>SUM(C65:D65)</f>
        <v>0.52569999999999995</v>
      </c>
    </row>
    <row r="66" spans="1:19" s="538" customFormat="1" x14ac:dyDescent="0.2">
      <c r="S66" s="551"/>
    </row>
    <row r="67" spans="1:19" s="538" customFormat="1" x14ac:dyDescent="0.2">
      <c r="A67" s="536" t="s">
        <v>338</v>
      </c>
      <c r="S67" s="551"/>
    </row>
    <row r="68" spans="1:19" s="538" customFormat="1" x14ac:dyDescent="0.2">
      <c r="A68" s="563" t="s">
        <v>343</v>
      </c>
      <c r="B68" s="564">
        <v>2.2000000000000001E-3</v>
      </c>
      <c r="S68" s="551"/>
    </row>
    <row r="69" spans="1:19" s="538" customFormat="1" x14ac:dyDescent="0.2">
      <c r="A69" s="563" t="s">
        <v>339</v>
      </c>
      <c r="B69" s="564">
        <v>3.2199999999999999E-2</v>
      </c>
      <c r="D69" s="525"/>
      <c r="S69" s="551"/>
    </row>
    <row r="70" spans="1:19" s="538" customFormat="1" x14ac:dyDescent="0.2">
      <c r="A70" s="563" t="s">
        <v>340</v>
      </c>
      <c r="B70" s="564">
        <v>2.2599999999999999E-2</v>
      </c>
      <c r="D70" s="525"/>
    </row>
    <row r="71" spans="1:19" s="538" customFormat="1" x14ac:dyDescent="0.2">
      <c r="A71" s="563" t="s">
        <v>341</v>
      </c>
      <c r="B71" s="564">
        <v>6.7000000000000002E-3</v>
      </c>
      <c r="D71" s="525"/>
    </row>
    <row r="72" spans="1:19" s="538" customFormat="1" x14ac:dyDescent="0.2">
      <c r="A72" s="563" t="s">
        <v>342</v>
      </c>
      <c r="B72" s="564">
        <v>2.7000000000000001E-3</v>
      </c>
      <c r="D72" s="525"/>
    </row>
    <row r="73" spans="1:19" s="538" customFormat="1" x14ac:dyDescent="0.2"/>
    <row r="74" spans="1:19" s="538" customFormat="1" x14ac:dyDescent="0.2">
      <c r="A74" s="536" t="s">
        <v>68</v>
      </c>
      <c r="B74" s="538" t="s">
        <v>0</v>
      </c>
      <c r="C74" s="565">
        <v>31.1</v>
      </c>
      <c r="G74" s="566"/>
    </row>
    <row r="75" spans="1:19" s="538" customFormat="1" x14ac:dyDescent="0.2">
      <c r="B75" s="538" t="s">
        <v>15</v>
      </c>
      <c r="C75" s="565">
        <v>27.28</v>
      </c>
    </row>
    <row r="76" spans="1:19" s="538" customFormat="1" x14ac:dyDescent="0.2">
      <c r="B76" s="538" t="s">
        <v>16</v>
      </c>
      <c r="C76" s="565">
        <v>49.68</v>
      </c>
    </row>
    <row r="77" spans="1:19" s="538" customFormat="1" x14ac:dyDescent="0.2">
      <c r="B77" s="538" t="s">
        <v>17</v>
      </c>
      <c r="C77" s="565">
        <v>24.57</v>
      </c>
    </row>
    <row r="78" spans="1:19" s="538" customFormat="1" x14ac:dyDescent="0.2">
      <c r="C78" s="567"/>
    </row>
    <row r="79" spans="1:19" s="538" customFormat="1" x14ac:dyDescent="0.2">
      <c r="A79" s="536" t="s">
        <v>196</v>
      </c>
      <c r="B79" s="538" t="s">
        <v>197</v>
      </c>
      <c r="C79" s="565">
        <v>64.88</v>
      </c>
    </row>
    <row r="80" spans="1:19" s="538" customFormat="1" x14ac:dyDescent="0.2">
      <c r="C80" s="567"/>
    </row>
    <row r="81" spans="1:8" s="538" customFormat="1" x14ac:dyDescent="0.2">
      <c r="D81" s="568" t="s">
        <v>48</v>
      </c>
    </row>
    <row r="82" spans="1:8" s="538" customFormat="1" x14ac:dyDescent="0.2">
      <c r="A82" s="536" t="s">
        <v>69</v>
      </c>
      <c r="B82" s="538" t="s">
        <v>70</v>
      </c>
      <c r="C82" s="565">
        <v>760.68</v>
      </c>
      <c r="D82" s="569">
        <f>ROUND(+C82/13.717,2)</f>
        <v>55.46</v>
      </c>
    </row>
    <row r="83" spans="1:8" s="538" customFormat="1" x14ac:dyDescent="0.2">
      <c r="B83" s="538" t="s">
        <v>71</v>
      </c>
      <c r="C83" s="565">
        <v>232.9</v>
      </c>
      <c r="D83" s="569">
        <f>ROUND(+C83/13.717,2)</f>
        <v>16.98</v>
      </c>
    </row>
    <row r="84" spans="1:8" s="538" customFormat="1" x14ac:dyDescent="0.2">
      <c r="B84" s="538" t="s">
        <v>72</v>
      </c>
      <c r="C84" s="565">
        <f>+C83</f>
        <v>232.9</v>
      </c>
      <c r="D84" s="569">
        <f>ROUND(+C84/13.717,2)</f>
        <v>16.98</v>
      </c>
    </row>
    <row r="85" spans="1:8" s="538" customFormat="1" x14ac:dyDescent="0.2">
      <c r="B85" s="538" t="s">
        <v>243</v>
      </c>
      <c r="C85" s="565">
        <v>0</v>
      </c>
      <c r="D85" s="569">
        <f>ROUND(+C85/13.717,2)</f>
        <v>0</v>
      </c>
    </row>
    <row r="86" spans="1:8" s="538" customFormat="1" x14ac:dyDescent="0.2"/>
    <row r="87" spans="1:8" s="538" customFormat="1" x14ac:dyDescent="0.2">
      <c r="A87" s="536" t="s">
        <v>108</v>
      </c>
      <c r="C87" s="570">
        <v>34.47</v>
      </c>
      <c r="D87" s="571"/>
    </row>
    <row r="88" spans="1:8" s="538" customFormat="1" x14ac:dyDescent="0.2"/>
    <row r="89" spans="1:8" s="538" customFormat="1" x14ac:dyDescent="0.2">
      <c r="A89" s="536" t="s">
        <v>194</v>
      </c>
      <c r="C89" s="548">
        <v>8.0000000000000002E-3</v>
      </c>
      <c r="D89" s="557"/>
    </row>
    <row r="90" spans="1:8" s="538" customFormat="1" x14ac:dyDescent="0.2"/>
    <row r="91" spans="1:8" s="538" customFormat="1" x14ac:dyDescent="0.2"/>
    <row r="92" spans="1:8" s="538" customFormat="1" x14ac:dyDescent="0.2">
      <c r="A92" s="536" t="s">
        <v>78</v>
      </c>
      <c r="B92" s="536"/>
      <c r="D92" s="565">
        <v>143.94999999999999</v>
      </c>
      <c r="E92" s="538" t="s">
        <v>203</v>
      </c>
    </row>
    <row r="93" spans="1:8" s="538" customFormat="1" x14ac:dyDescent="0.2">
      <c r="A93" s="536" t="s">
        <v>76</v>
      </c>
      <c r="B93" s="536"/>
      <c r="D93" s="548">
        <v>6.3E-2</v>
      </c>
    </row>
    <row r="94" spans="1:8" s="538" customFormat="1" x14ac:dyDescent="0.2">
      <c r="A94" s="538" t="s">
        <v>110</v>
      </c>
      <c r="B94" s="536"/>
      <c r="C94" s="538">
        <v>0</v>
      </c>
      <c r="D94" s="565">
        <v>0</v>
      </c>
      <c r="G94" s="532"/>
      <c r="H94" s="532"/>
    </row>
    <row r="95" spans="1:8" s="538" customFormat="1" x14ac:dyDescent="0.2">
      <c r="B95" s="536"/>
      <c r="C95" s="538">
        <v>1</v>
      </c>
      <c r="D95" s="565">
        <v>1138.3399999999999</v>
      </c>
      <c r="G95" s="532"/>
      <c r="H95" s="532"/>
    </row>
    <row r="96" spans="1:8" s="538" customFormat="1" x14ac:dyDescent="0.2">
      <c r="B96" s="536"/>
      <c r="C96" s="538">
        <v>6</v>
      </c>
      <c r="D96" s="565">
        <v>1090.47</v>
      </c>
      <c r="G96" s="532"/>
      <c r="H96" s="532"/>
    </row>
    <row r="97" spans="1:8" s="538" customFormat="1" x14ac:dyDescent="0.2">
      <c r="B97" s="536"/>
      <c r="C97" s="538">
        <v>9</v>
      </c>
      <c r="D97" s="565">
        <v>0</v>
      </c>
      <c r="G97" s="532"/>
      <c r="H97" s="532"/>
    </row>
    <row r="98" spans="1:8" s="538" customFormat="1" x14ac:dyDescent="0.2">
      <c r="B98" s="536"/>
      <c r="D98" s="567"/>
      <c r="G98" s="532"/>
      <c r="H98" s="532"/>
    </row>
    <row r="99" spans="1:8" s="538" customFormat="1" x14ac:dyDescent="0.2">
      <c r="A99" s="572" t="s">
        <v>189</v>
      </c>
      <c r="B99" s="532"/>
      <c r="C99" s="532"/>
      <c r="D99" s="565">
        <v>200</v>
      </c>
      <c r="E99" s="532"/>
      <c r="F99" s="532"/>
    </row>
    <row r="100" spans="1:8" s="538" customFormat="1" x14ac:dyDescent="0.2"/>
    <row r="101" spans="1:8" s="538" customFormat="1" x14ac:dyDescent="0.2">
      <c r="A101" s="536" t="s">
        <v>199</v>
      </c>
      <c r="D101" s="565">
        <v>316.95</v>
      </c>
    </row>
    <row r="102" spans="1:8" s="538" customFormat="1" x14ac:dyDescent="0.2"/>
    <row r="103" spans="1:8" s="538" customFormat="1" x14ac:dyDescent="0.2">
      <c r="A103" s="536" t="s">
        <v>394</v>
      </c>
    </row>
    <row r="104" spans="1:8" s="538" customFormat="1" x14ac:dyDescent="0.2">
      <c r="A104" s="536" t="s">
        <v>395</v>
      </c>
    </row>
    <row r="105" spans="1:8" s="538" customFormat="1" x14ac:dyDescent="0.2">
      <c r="A105" s="573" t="s">
        <v>95</v>
      </c>
    </row>
    <row r="106" spans="1:8" s="538" customFormat="1" x14ac:dyDescent="0.2">
      <c r="A106" s="574"/>
    </row>
    <row r="107" spans="1:8" s="538" customFormat="1" x14ac:dyDescent="0.2">
      <c r="A107" s="536" t="s">
        <v>180</v>
      </c>
      <c r="E107" s="529" t="s">
        <v>383</v>
      </c>
      <c r="G107" s="575"/>
    </row>
    <row r="108" spans="1:8" s="538" customFormat="1" x14ac:dyDescent="0.2">
      <c r="A108" s="536" t="s">
        <v>96</v>
      </c>
      <c r="B108" s="538" t="s">
        <v>181</v>
      </c>
      <c r="C108" s="538" t="s">
        <v>97</v>
      </c>
    </row>
    <row r="109" spans="1:8" s="538" customFormat="1" x14ac:dyDescent="0.2">
      <c r="A109" s="538">
        <v>1</v>
      </c>
      <c r="B109" s="576">
        <v>20142</v>
      </c>
      <c r="C109" s="586">
        <v>0.36549999999999999</v>
      </c>
    </row>
    <row r="110" spans="1:8" s="538" customFormat="1" x14ac:dyDescent="0.2">
      <c r="A110" s="538">
        <v>2</v>
      </c>
      <c r="B110" s="576">
        <v>33994</v>
      </c>
      <c r="C110" s="586">
        <v>0.40849999999999997</v>
      </c>
    </row>
    <row r="111" spans="1:8" s="538" customFormat="1" x14ac:dyDescent="0.2">
      <c r="A111" s="538">
        <v>3</v>
      </c>
      <c r="B111" s="576">
        <v>68507</v>
      </c>
      <c r="C111" s="586">
        <v>0.40849999999999997</v>
      </c>
    </row>
    <row r="112" spans="1:8" s="538" customFormat="1" x14ac:dyDescent="0.2">
      <c r="A112" s="538">
        <v>4</v>
      </c>
      <c r="B112" s="576">
        <v>999999</v>
      </c>
      <c r="C112" s="586">
        <v>0.51949999999999996</v>
      </c>
    </row>
    <row r="113" spans="1:22" s="538" customFormat="1" x14ac:dyDescent="0.2"/>
    <row r="114" spans="1:22" s="538" customFormat="1" hidden="1" x14ac:dyDescent="0.2">
      <c r="A114" s="536" t="s">
        <v>98</v>
      </c>
    </row>
    <row r="115" spans="1:22" s="538" customFormat="1" hidden="1" x14ac:dyDescent="0.2">
      <c r="A115" s="538" t="s">
        <v>99</v>
      </c>
      <c r="B115" s="576">
        <v>2242</v>
      </c>
    </row>
    <row r="116" spans="1:22" s="538" customFormat="1" hidden="1" x14ac:dyDescent="0.2">
      <c r="A116" s="577"/>
      <c r="B116" s="577" t="s">
        <v>101</v>
      </c>
      <c r="C116" s="577" t="s">
        <v>102</v>
      </c>
      <c r="D116" s="578" t="s">
        <v>103</v>
      </c>
      <c r="E116" s="539"/>
    </row>
    <row r="117" spans="1:22" s="538" customFormat="1" hidden="1" x14ac:dyDescent="0.2">
      <c r="A117" s="577" t="s">
        <v>100</v>
      </c>
      <c r="B117" s="577">
        <v>1947</v>
      </c>
      <c r="C117" s="579">
        <v>0.1232</v>
      </c>
      <c r="D117" s="580">
        <v>1611</v>
      </c>
      <c r="E117" s="539"/>
    </row>
    <row r="118" spans="1:22" s="538" customFormat="1" hidden="1" x14ac:dyDescent="0.2">
      <c r="A118" s="577"/>
      <c r="B118" s="577">
        <v>1949</v>
      </c>
      <c r="C118" s="579">
        <v>0.1232</v>
      </c>
      <c r="D118" s="580">
        <v>1611</v>
      </c>
      <c r="E118" s="539"/>
    </row>
    <row r="119" spans="1:22" s="538" customFormat="1" hidden="1" x14ac:dyDescent="0.2">
      <c r="A119" s="577"/>
      <c r="B119" s="577">
        <v>1951</v>
      </c>
      <c r="C119" s="579">
        <v>0.1232</v>
      </c>
      <c r="D119" s="580">
        <v>1611</v>
      </c>
      <c r="E119" s="539"/>
    </row>
    <row r="120" spans="1:22" s="538" customFormat="1" hidden="1" x14ac:dyDescent="0.2">
      <c r="A120" s="577"/>
      <c r="B120" s="577">
        <v>1954</v>
      </c>
      <c r="C120" s="579">
        <v>0.1232</v>
      </c>
      <c r="D120" s="580">
        <v>1611</v>
      </c>
      <c r="E120" s="539"/>
    </row>
    <row r="121" spans="1:22" s="538" customFormat="1" x14ac:dyDescent="0.2">
      <c r="C121" s="581"/>
    </row>
    <row r="122" spans="1:22" s="538" customFormat="1" x14ac:dyDescent="0.2">
      <c r="A122" s="582"/>
      <c r="B122" s="583"/>
    </row>
    <row r="123" spans="1:22" s="538" customFormat="1" x14ac:dyDescent="0.2">
      <c r="A123" s="584"/>
      <c r="B123" s="584"/>
      <c r="C123" s="585"/>
      <c r="D123" s="532"/>
      <c r="E123" s="532"/>
      <c r="F123" s="532"/>
      <c r="G123" s="532"/>
      <c r="H123" s="532"/>
      <c r="I123" s="532"/>
      <c r="J123" s="532"/>
      <c r="K123" s="532"/>
      <c r="L123" s="532"/>
      <c r="M123" s="532"/>
      <c r="N123" s="532"/>
      <c r="O123" s="532"/>
      <c r="P123" s="532"/>
      <c r="Q123" s="532"/>
      <c r="R123" s="532"/>
      <c r="S123" s="532"/>
      <c r="T123" s="532"/>
      <c r="U123" s="532"/>
      <c r="V123" s="532"/>
    </row>
    <row r="124" spans="1:22" s="538" customFormat="1" x14ac:dyDescent="0.2">
      <c r="A124" s="532"/>
      <c r="B124" s="532"/>
      <c r="C124" s="585"/>
      <c r="D124" s="532"/>
      <c r="E124" s="532"/>
      <c r="F124" s="532"/>
      <c r="G124" s="532"/>
      <c r="H124" s="532"/>
      <c r="I124" s="532"/>
      <c r="J124" s="532"/>
      <c r="K124" s="532"/>
      <c r="L124" s="532"/>
      <c r="M124" s="532"/>
      <c r="N124" s="532"/>
      <c r="O124" s="532"/>
      <c r="P124" s="532"/>
      <c r="Q124" s="532"/>
      <c r="R124" s="532"/>
      <c r="S124" s="532"/>
      <c r="T124" s="532"/>
      <c r="U124" s="532"/>
      <c r="V124" s="532"/>
    </row>
    <row r="125" spans="1:22" s="538" customFormat="1" x14ac:dyDescent="0.2">
      <c r="A125" s="532"/>
      <c r="B125" s="532"/>
      <c r="C125" s="532"/>
      <c r="D125" s="532"/>
      <c r="E125" s="532"/>
      <c r="F125" s="532"/>
      <c r="G125" s="532"/>
      <c r="H125" s="532"/>
      <c r="I125" s="532"/>
      <c r="J125" s="532"/>
      <c r="K125" s="532"/>
      <c r="L125" s="532"/>
      <c r="M125" s="532"/>
      <c r="N125" s="532"/>
      <c r="O125" s="532"/>
      <c r="P125" s="532"/>
      <c r="Q125" s="532"/>
      <c r="R125" s="532"/>
      <c r="S125" s="532"/>
      <c r="T125" s="532"/>
      <c r="U125" s="532"/>
      <c r="V125" s="532"/>
    </row>
    <row r="126" spans="1:22" s="538" customFormat="1" x14ac:dyDescent="0.2">
      <c r="A126" s="532"/>
      <c r="B126" s="532"/>
      <c r="C126" s="532"/>
      <c r="D126" s="532"/>
      <c r="E126" s="532"/>
      <c r="F126" s="532"/>
      <c r="G126" s="532"/>
      <c r="H126" s="532"/>
      <c r="I126" s="532"/>
      <c r="J126" s="532"/>
      <c r="K126" s="532"/>
      <c r="L126" s="532"/>
      <c r="M126" s="532"/>
      <c r="N126" s="532"/>
      <c r="O126" s="532"/>
      <c r="P126" s="532"/>
      <c r="Q126" s="532"/>
      <c r="R126" s="532"/>
      <c r="S126" s="532"/>
      <c r="T126" s="532"/>
      <c r="U126" s="532"/>
      <c r="V126" s="532"/>
    </row>
  </sheetData>
  <sheetProtection algorithmName="SHA-512" hashValue="e2nQbC6YIHPVmYdRsL0I3yjJ5lARPlZhks4xhqO8mXS9kv7VdKracO0zZl5Eg2d4hipSXyI1b6Vb7kT/NAxqkw==" saltValue="YlAnO6g2aexHmoUE0nL1Zw==" spinCount="100000" sheet="1" objects="1" scenarios="1"/>
  <phoneticPr fontId="0" type="noConversion"/>
  <hyperlinks>
    <hyperlink ref="J53" r:id="rId1"/>
    <hyperlink ref="J64" r:id="rId2"/>
    <hyperlink ref="J60" r:id="rId3"/>
    <hyperlink ref="J56" r:id="rId4"/>
    <hyperlink ref="J59" r:id="rId5"/>
    <hyperlink ref="J57" r:id="rId6"/>
    <hyperlink ref="E107" r:id="rId7"/>
    <hyperlink ref="J58" r:id="rId8"/>
  </hyperlinks>
  <printOptions gridLines="1"/>
  <pageMargins left="0.75" right="0.75" top="1" bottom="1" header="0.5" footer="0.5"/>
  <pageSetup paperSize="9" scale="51" orientation="landscape" r:id="rId9"/>
  <headerFooter alignWithMargins="0">
    <oddHeader>&amp;L&amp;"Arial,Vet"&amp;A&amp;C&amp;"Arial,Vet"&amp;D&amp;R&amp;"Arial,Vet"&amp;F</oddHeader>
    <oddFooter>&amp;L&amp;"Arial,Vet"&amp;8gemaakt door PO-Raad&amp;R&amp;"Arial,Vet"&amp;P</oddFooter>
  </headerFooter>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13</vt:i4>
      </vt:variant>
    </vt:vector>
  </HeadingPairs>
  <TitlesOfParts>
    <vt:vector size="20" baseType="lpstr">
      <vt:lpstr>toel</vt:lpstr>
      <vt:lpstr>wgl</vt:lpstr>
      <vt:lpstr>Ouderschapsverlof</vt:lpstr>
      <vt:lpstr>Functiedifferentiatie</vt:lpstr>
      <vt:lpstr>Extra periodieken</vt:lpstr>
      <vt:lpstr>wgl tot</vt:lpstr>
      <vt:lpstr>tabellen</vt:lpstr>
      <vt:lpstr>'Extra periodieken'!Afdrukbereik</vt:lpstr>
      <vt:lpstr>Functiedifferentiatie!Afdrukbereik</vt:lpstr>
      <vt:lpstr>Ouderschapsverlof!Afdrukbereik</vt:lpstr>
      <vt:lpstr>tabellen!Afdrukbereik</vt:lpstr>
      <vt:lpstr>toel!Afdrukbereik</vt:lpstr>
      <vt:lpstr>wgl!Afdrukbereik</vt:lpstr>
      <vt:lpstr>'wgl tot'!Afdrukbereik</vt:lpstr>
      <vt:lpstr>arbeidskorting</vt:lpstr>
      <vt:lpstr>bindingstoelage</vt:lpstr>
      <vt:lpstr>eindejaarsuitkering_OOP</vt:lpstr>
      <vt:lpstr>premies</vt:lpstr>
      <vt:lpstr>salaristabellen</vt:lpstr>
      <vt:lpstr>uitlooptoeslag</vt:lpstr>
    </vt:vector>
  </TitlesOfParts>
  <Company>VOS/ABB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Personele kosten onder LS PO</dc:title>
  <dc:creator>Keizer</dc:creator>
  <cp:lastModifiedBy>B Keizer</cp:lastModifiedBy>
  <cp:lastPrinted>2018-01-03T15:09:52Z</cp:lastPrinted>
  <dcterms:created xsi:type="dcterms:W3CDTF">2002-04-23T20:54:25Z</dcterms:created>
  <dcterms:modified xsi:type="dcterms:W3CDTF">2018-01-03T15:10:58Z</dcterms:modified>
</cp:coreProperties>
</file>