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ubbe\Documents\Instrumenten\toolbox 2019\po\"/>
    </mc:Choice>
  </mc:AlternateContent>
  <bookViews>
    <workbookView xWindow="0" yWindow="0" windowWidth="19200" windowHeight="11205" tabRatio="762" activeTab="5"/>
  </bookViews>
  <sheets>
    <sheet name="toel" sheetId="10" r:id="rId1"/>
    <sheet name="wgl" sheetId="1" r:id="rId2"/>
    <sheet name="Ouderschapsverlof" sheetId="9" state="hidden" r:id="rId3"/>
    <sheet name="Functiedifferentiatie" sheetId="8" state="hidden" r:id="rId4"/>
    <sheet name="Extra periodieken" sheetId="7" state="hidden" r:id="rId5"/>
    <sheet name="wgl tot" sheetId="12" r:id="rId6"/>
    <sheet name="tabellen" sheetId="3" r:id="rId7"/>
  </sheets>
  <definedNames>
    <definedName name="_xlnm._FilterDatabase" localSheetId="1" hidden="1">wgl!#REF!</definedName>
    <definedName name="_xlnm.Print_Area" localSheetId="4">'Extra periodieken'!$B$2:$J$52</definedName>
    <definedName name="_xlnm.Print_Area" localSheetId="3">Functiedifferentiatie!$B$2:$J$52</definedName>
    <definedName name="_xlnm.Print_Area" localSheetId="2">Ouderschapsverlof!$B$2:$L$66</definedName>
    <definedName name="_xlnm.Print_Area" localSheetId="6">tabellen!$A$4:$H$71</definedName>
    <definedName name="_xlnm.Print_Area" localSheetId="0">toel!$B$2:$N$124</definedName>
    <definedName name="_xlnm.Print_Area" localSheetId="1">wgl!$B$2:$S$68</definedName>
    <definedName name="_xlnm.Print_Area" localSheetId="5">'wgl tot'!$B$2:$AS$88</definedName>
    <definedName name="arbeidskorting">tabellen!$B$68:$D$71</definedName>
    <definedName name="bindingstoelage">tabellen!#REF!</definedName>
    <definedName name="eindejaarsuitkering_OOP">tabellen!$C$45:$D$48</definedName>
    <definedName name="premies">tabellen!$B$6:$G$17</definedName>
    <definedName name="saltab2016">tabellen!$A$75:$U$116</definedName>
    <definedName name="saltab2018sept">tabellen!$A$121:$U$162</definedName>
    <definedName name="saltab2019">tabellen!$A$166:$U$207</definedName>
    <definedName name="saltab2020">tabellen!$A$211:$V$251</definedName>
    <definedName name="uitlooptoeslag">tabellen!$B$27:$C$31</definedName>
  </definedNames>
  <calcPr calcId="152511"/>
</workbook>
</file>

<file path=xl/calcChain.xml><?xml version="1.0" encoding="utf-8"?>
<calcChain xmlns="http://schemas.openxmlformats.org/spreadsheetml/2006/main">
  <c r="W11" i="12" l="1"/>
  <c r="AI13" i="12" l="1"/>
  <c r="AI15" i="12"/>
  <c r="AI16" i="12"/>
  <c r="AI18" i="12"/>
  <c r="AI19" i="12"/>
  <c r="AI20" i="12"/>
  <c r="AI21" i="12"/>
  <c r="AI23" i="12"/>
  <c r="AI24" i="12"/>
  <c r="AI25" i="12"/>
  <c r="AI26" i="12"/>
  <c r="AI27" i="12"/>
  <c r="AI28" i="12"/>
  <c r="AI29" i="12"/>
  <c r="AI30" i="12"/>
  <c r="AI31" i="12"/>
  <c r="AI32" i="12"/>
  <c r="AI33" i="12"/>
  <c r="AI34" i="12"/>
  <c r="AI35" i="12"/>
  <c r="AI36" i="12"/>
  <c r="AI37" i="12"/>
  <c r="AI38" i="12"/>
  <c r="AI39" i="12"/>
  <c r="AI40" i="12"/>
  <c r="AI41" i="12"/>
  <c r="AI42" i="12"/>
  <c r="AI43" i="12"/>
  <c r="AI44" i="12"/>
  <c r="AI45" i="12"/>
  <c r="AI46" i="12"/>
  <c r="AI47" i="12"/>
  <c r="AI48" i="12"/>
  <c r="AI49" i="12"/>
  <c r="AI50" i="12"/>
  <c r="AI51" i="12"/>
  <c r="AI52" i="12"/>
  <c r="AI53" i="12"/>
  <c r="AI54" i="12"/>
  <c r="AI55" i="12"/>
  <c r="AI56" i="12"/>
  <c r="AI57" i="12"/>
  <c r="AI58" i="12"/>
  <c r="AI59" i="12"/>
  <c r="AI60" i="12"/>
  <c r="AI61" i="12"/>
  <c r="AI62" i="12"/>
  <c r="AI63" i="12"/>
  <c r="AI64" i="12"/>
  <c r="AI65" i="12"/>
  <c r="AI66" i="12"/>
  <c r="AI67" i="12"/>
  <c r="AI68" i="12"/>
  <c r="AI69" i="12"/>
  <c r="AI70" i="12"/>
  <c r="AI71" i="12"/>
  <c r="AI72" i="12"/>
  <c r="AI73" i="12"/>
  <c r="AI74" i="12"/>
  <c r="AI75" i="12"/>
  <c r="AI76" i="12"/>
  <c r="AI77" i="12"/>
  <c r="AI78" i="12"/>
  <c r="AI79" i="12"/>
  <c r="AI80" i="12"/>
  <c r="AI81" i="12"/>
  <c r="AI82" i="12"/>
  <c r="AI83" i="12"/>
  <c r="AI84" i="12"/>
  <c r="AI85" i="12"/>
  <c r="AI86" i="12"/>
  <c r="V23" i="12"/>
  <c r="V24" i="12"/>
  <c r="V25" i="12"/>
  <c r="V26" i="12"/>
  <c r="V27" i="12"/>
  <c r="V28" i="12"/>
  <c r="V29" i="12"/>
  <c r="V30" i="12"/>
  <c r="V31" i="12"/>
  <c r="V32" i="12"/>
  <c r="V33" i="12"/>
  <c r="V34" i="12"/>
  <c r="V35" i="12"/>
  <c r="V36" i="12"/>
  <c r="V37" i="12"/>
  <c r="V38" i="12"/>
  <c r="V39" i="12"/>
  <c r="V40" i="12"/>
  <c r="V41" i="12"/>
  <c r="V42" i="12"/>
  <c r="V43" i="12"/>
  <c r="V44" i="12"/>
  <c r="V45" i="12"/>
  <c r="V46" i="12"/>
  <c r="V47" i="12"/>
  <c r="V48" i="12"/>
  <c r="V49" i="12"/>
  <c r="V50" i="12"/>
  <c r="V51" i="12"/>
  <c r="V52" i="12"/>
  <c r="V53" i="12"/>
  <c r="V54" i="12"/>
  <c r="V55" i="12"/>
  <c r="V56" i="12"/>
  <c r="V57" i="12"/>
  <c r="V58" i="12"/>
  <c r="V59" i="12"/>
  <c r="V60" i="12"/>
  <c r="V61" i="12"/>
  <c r="V62" i="12"/>
  <c r="V63" i="12"/>
  <c r="V64" i="12"/>
  <c r="V65" i="12"/>
  <c r="V66" i="12"/>
  <c r="V67" i="12"/>
  <c r="V68" i="12"/>
  <c r="V69" i="12"/>
  <c r="V70" i="12"/>
  <c r="V71" i="12"/>
  <c r="V72" i="12"/>
  <c r="V73" i="12"/>
  <c r="V74" i="12"/>
  <c r="V75" i="12"/>
  <c r="V76" i="12"/>
  <c r="V77" i="12"/>
  <c r="V78" i="12"/>
  <c r="V79" i="12"/>
  <c r="V80" i="12"/>
  <c r="V81" i="12"/>
  <c r="V82" i="12"/>
  <c r="V83" i="12"/>
  <c r="V84" i="12"/>
  <c r="V85" i="12"/>
  <c r="V86" i="12"/>
  <c r="H20" i="1" l="1"/>
  <c r="F1" i="3" l="1"/>
  <c r="G22" i="1" l="1"/>
  <c r="N34" i="1" l="1"/>
  <c r="BQ70" i="12" l="1"/>
  <c r="BO70" i="12"/>
  <c r="BN70" i="12"/>
  <c r="BM70" i="12"/>
  <c r="BE70" i="12"/>
  <c r="Q70" i="12" s="1"/>
  <c r="BC70" i="12"/>
  <c r="BB70" i="12"/>
  <c r="AZ70" i="12"/>
  <c r="AY70" i="12"/>
  <c r="BD70" i="12" s="1"/>
  <c r="S70" i="12" s="1"/>
  <c r="AJ70" i="12"/>
  <c r="AG70" i="12"/>
  <c r="AF70" i="12"/>
  <c r="AE70" i="12"/>
  <c r="AC70" i="12"/>
  <c r="AB70" i="12"/>
  <c r="Z70" i="12"/>
  <c r="T70" i="12"/>
  <c r="R70" i="12"/>
  <c r="P70" i="12"/>
  <c r="K70" i="12"/>
  <c r="L70" i="12" s="1"/>
  <c r="BQ69" i="12"/>
  <c r="BO69" i="12"/>
  <c r="BN69" i="12"/>
  <c r="BM69" i="12"/>
  <c r="BE69" i="12"/>
  <c r="Q69" i="12" s="1"/>
  <c r="BC69" i="12"/>
  <c r="BB69" i="12"/>
  <c r="AZ69" i="12"/>
  <c r="AY69" i="12"/>
  <c r="BD69" i="12" s="1"/>
  <c r="S69" i="12" s="1"/>
  <c r="AJ69" i="12"/>
  <c r="AG69" i="12"/>
  <c r="AF69" i="12"/>
  <c r="AE69" i="12"/>
  <c r="AC69" i="12"/>
  <c r="AB69" i="12"/>
  <c r="Z69" i="12"/>
  <c r="T69" i="12"/>
  <c r="R69" i="12"/>
  <c r="P69" i="12"/>
  <c r="K69" i="12"/>
  <c r="L69" i="12" s="1"/>
  <c r="BQ68" i="12"/>
  <c r="BO68" i="12"/>
  <c r="BN68" i="12"/>
  <c r="BM68" i="12"/>
  <c r="BE68" i="12"/>
  <c r="Q68" i="12" s="1"/>
  <c r="BC68" i="12"/>
  <c r="BB68" i="12"/>
  <c r="AZ68" i="12"/>
  <c r="AY68" i="12"/>
  <c r="BD68" i="12" s="1"/>
  <c r="S68" i="12" s="1"/>
  <c r="AJ68" i="12"/>
  <c r="AG68" i="12"/>
  <c r="AF68" i="12"/>
  <c r="AE68" i="12"/>
  <c r="AC68" i="12"/>
  <c r="AB68" i="12"/>
  <c r="Z68" i="12"/>
  <c r="T68" i="12"/>
  <c r="R68" i="12"/>
  <c r="P68" i="12"/>
  <c r="K68" i="12"/>
  <c r="L68" i="12" s="1"/>
  <c r="BQ67" i="12"/>
  <c r="BO67" i="12"/>
  <c r="BN67" i="12"/>
  <c r="BM67" i="12"/>
  <c r="BE67" i="12"/>
  <c r="Q67" i="12" s="1"/>
  <c r="BC67" i="12"/>
  <c r="BB67" i="12"/>
  <c r="AZ67" i="12"/>
  <c r="AY67" i="12"/>
  <c r="BD67" i="12" s="1"/>
  <c r="S67" i="12" s="1"/>
  <c r="AJ67" i="12"/>
  <c r="AG67" i="12"/>
  <c r="AF67" i="12"/>
  <c r="AE67" i="12"/>
  <c r="AC67" i="12"/>
  <c r="AB67" i="12"/>
  <c r="Z67" i="12"/>
  <c r="T67" i="12"/>
  <c r="R67" i="12"/>
  <c r="P67" i="12"/>
  <c r="K67" i="12"/>
  <c r="L67" i="12" s="1"/>
  <c r="BQ66" i="12"/>
  <c r="BO66" i="12"/>
  <c r="BN66" i="12"/>
  <c r="BM66" i="12"/>
  <c r="BE66" i="12"/>
  <c r="Q66" i="12" s="1"/>
  <c r="BC66" i="12"/>
  <c r="BB66" i="12"/>
  <c r="AZ66" i="12"/>
  <c r="AY66" i="12"/>
  <c r="BD66" i="12" s="1"/>
  <c r="S66" i="12" s="1"/>
  <c r="AJ66" i="12"/>
  <c r="AG66" i="12"/>
  <c r="AF66" i="12"/>
  <c r="AE66" i="12"/>
  <c r="AC66" i="12"/>
  <c r="AB66" i="12"/>
  <c r="Z66" i="12"/>
  <c r="T66" i="12"/>
  <c r="R66" i="12"/>
  <c r="P66" i="12"/>
  <c r="K66" i="12"/>
  <c r="L66" i="12" s="1"/>
  <c r="BQ65" i="12"/>
  <c r="BO65" i="12"/>
  <c r="BN65" i="12"/>
  <c r="BM65" i="12"/>
  <c r="BE65" i="12"/>
  <c r="Q65" i="12" s="1"/>
  <c r="BC65" i="12"/>
  <c r="BB65" i="12"/>
  <c r="AZ65" i="12"/>
  <c r="AY65" i="12"/>
  <c r="BD65" i="12" s="1"/>
  <c r="S65" i="12" s="1"/>
  <c r="AJ65" i="12"/>
  <c r="AG65" i="12"/>
  <c r="AF65" i="12"/>
  <c r="AE65" i="12"/>
  <c r="AC65" i="12"/>
  <c r="AB65" i="12"/>
  <c r="Z65" i="12"/>
  <c r="T65" i="12"/>
  <c r="R65" i="12"/>
  <c r="P65" i="12"/>
  <c r="K65" i="12"/>
  <c r="L65" i="12" s="1"/>
  <c r="BQ64" i="12"/>
  <c r="BO64" i="12"/>
  <c r="BN64" i="12"/>
  <c r="BM64" i="12"/>
  <c r="BE64" i="12"/>
  <c r="Q64" i="12" s="1"/>
  <c r="BC64" i="12"/>
  <c r="BB64" i="12"/>
  <c r="AZ64" i="12"/>
  <c r="AY64" i="12"/>
  <c r="BD64" i="12" s="1"/>
  <c r="S64" i="12" s="1"/>
  <c r="AJ64" i="12"/>
  <c r="AG64" i="12"/>
  <c r="AF64" i="12"/>
  <c r="AE64" i="12"/>
  <c r="AC64" i="12"/>
  <c r="AB64" i="12"/>
  <c r="Z64" i="12"/>
  <c r="T64" i="12"/>
  <c r="R64" i="12"/>
  <c r="P64" i="12"/>
  <c r="K64" i="12"/>
  <c r="L64" i="12" s="1"/>
  <c r="BQ63" i="12"/>
  <c r="BO63" i="12"/>
  <c r="BN63" i="12"/>
  <c r="BM63" i="12"/>
  <c r="BE63" i="12"/>
  <c r="Q63" i="12" s="1"/>
  <c r="BC63" i="12"/>
  <c r="BB63" i="12"/>
  <c r="AZ63" i="12"/>
  <c r="AY63" i="12"/>
  <c r="BD63" i="12" s="1"/>
  <c r="S63" i="12" s="1"/>
  <c r="AJ63" i="12"/>
  <c r="AG63" i="12"/>
  <c r="AF63" i="12"/>
  <c r="AE63" i="12"/>
  <c r="AC63" i="12"/>
  <c r="AB63" i="12"/>
  <c r="Z63" i="12"/>
  <c r="T63" i="12"/>
  <c r="R63" i="12"/>
  <c r="P63" i="12"/>
  <c r="K63" i="12"/>
  <c r="L63" i="12" s="1"/>
  <c r="BQ62" i="12"/>
  <c r="BO62" i="12"/>
  <c r="BN62" i="12"/>
  <c r="BM62" i="12"/>
  <c r="BE62" i="12"/>
  <c r="Q62" i="12" s="1"/>
  <c r="BC62" i="12"/>
  <c r="BB62" i="12"/>
  <c r="AZ62" i="12"/>
  <c r="AY62" i="12"/>
  <c r="BD62" i="12" s="1"/>
  <c r="S62" i="12" s="1"/>
  <c r="AJ62" i="12"/>
  <c r="AG62" i="12"/>
  <c r="AF62" i="12"/>
  <c r="AE62" i="12"/>
  <c r="AC62" i="12"/>
  <c r="AB62" i="12"/>
  <c r="Z62" i="12"/>
  <c r="T62" i="12"/>
  <c r="R62" i="12"/>
  <c r="P62" i="12"/>
  <c r="K62" i="12"/>
  <c r="L62" i="12" s="1"/>
  <c r="BQ61" i="12"/>
  <c r="BO61" i="12"/>
  <c r="BN61" i="12"/>
  <c r="BM61" i="12"/>
  <c r="BE61" i="12"/>
  <c r="Q61" i="12" s="1"/>
  <c r="BC61" i="12"/>
  <c r="BB61" i="12"/>
  <c r="AZ61" i="12"/>
  <c r="AY61" i="12"/>
  <c r="BD61" i="12" s="1"/>
  <c r="S61" i="12" s="1"/>
  <c r="AJ61" i="12"/>
  <c r="AG61" i="12"/>
  <c r="AF61" i="12"/>
  <c r="AE61" i="12"/>
  <c r="AC61" i="12"/>
  <c r="AB61" i="12"/>
  <c r="Z61" i="12"/>
  <c r="T61" i="12"/>
  <c r="R61" i="12"/>
  <c r="P61" i="12"/>
  <c r="K61" i="12"/>
  <c r="L61" i="12" s="1"/>
  <c r="BQ60" i="12"/>
  <c r="BO60" i="12"/>
  <c r="BN60" i="12"/>
  <c r="BM60" i="12"/>
  <c r="BE60" i="12"/>
  <c r="Q60" i="12" s="1"/>
  <c r="BC60" i="12"/>
  <c r="BB60" i="12"/>
  <c r="AZ60" i="12"/>
  <c r="AY60" i="12"/>
  <c r="BD60" i="12" s="1"/>
  <c r="S60" i="12" s="1"/>
  <c r="AJ60" i="12"/>
  <c r="AG60" i="12"/>
  <c r="AF60" i="12"/>
  <c r="AE60" i="12"/>
  <c r="AC60" i="12"/>
  <c r="AB60" i="12"/>
  <c r="Z60" i="12"/>
  <c r="T60" i="12"/>
  <c r="R60" i="12"/>
  <c r="P60" i="12"/>
  <c r="K60" i="12"/>
  <c r="L60" i="12" s="1"/>
  <c r="BQ59" i="12"/>
  <c r="BO59" i="12"/>
  <c r="BN59" i="12"/>
  <c r="BM59" i="12"/>
  <c r="BE59" i="12"/>
  <c r="Q59" i="12" s="1"/>
  <c r="BC59" i="12"/>
  <c r="BB59" i="12"/>
  <c r="AZ59" i="12"/>
  <c r="AY59" i="12"/>
  <c r="BD59" i="12" s="1"/>
  <c r="S59" i="12" s="1"/>
  <c r="AJ59" i="12"/>
  <c r="AG59" i="12"/>
  <c r="AF59" i="12"/>
  <c r="AE59" i="12"/>
  <c r="AC59" i="12"/>
  <c r="AB59" i="12"/>
  <c r="Z59" i="12"/>
  <c r="T59" i="12"/>
  <c r="R59" i="12"/>
  <c r="P59" i="12"/>
  <c r="K59" i="12"/>
  <c r="L59" i="12" s="1"/>
  <c r="BQ58" i="12"/>
  <c r="BO58" i="12"/>
  <c r="BN58" i="12"/>
  <c r="BM58" i="12"/>
  <c r="BE58" i="12"/>
  <c r="Q58" i="12" s="1"/>
  <c r="BC58" i="12"/>
  <c r="BB58" i="12"/>
  <c r="AZ58" i="12"/>
  <c r="AY58" i="12"/>
  <c r="BD58" i="12" s="1"/>
  <c r="S58" i="12" s="1"/>
  <c r="AJ58" i="12"/>
  <c r="AG58" i="12"/>
  <c r="AF58" i="12"/>
  <c r="AE58" i="12"/>
  <c r="AC58" i="12"/>
  <c r="AB58" i="12"/>
  <c r="Z58" i="12"/>
  <c r="T58" i="12"/>
  <c r="R58" i="12"/>
  <c r="P58" i="12"/>
  <c r="K58" i="12"/>
  <c r="L58" i="12" s="1"/>
  <c r="BQ57" i="12"/>
  <c r="BO57" i="12"/>
  <c r="BN57" i="12"/>
  <c r="BM57" i="12"/>
  <c r="BE57" i="12"/>
  <c r="Q57" i="12" s="1"/>
  <c r="BC57" i="12"/>
  <c r="BB57" i="12"/>
  <c r="AZ57" i="12"/>
  <c r="AY57" i="12"/>
  <c r="BD57" i="12" s="1"/>
  <c r="S57" i="12" s="1"/>
  <c r="AJ57" i="12"/>
  <c r="AG57" i="12"/>
  <c r="AF57" i="12"/>
  <c r="AE57" i="12"/>
  <c r="AC57" i="12"/>
  <c r="AB57" i="12"/>
  <c r="Z57" i="12"/>
  <c r="T57" i="12"/>
  <c r="R57" i="12"/>
  <c r="P57" i="12"/>
  <c r="K57" i="12"/>
  <c r="L57" i="12" s="1"/>
  <c r="BQ56" i="12"/>
  <c r="BO56" i="12"/>
  <c r="BN56" i="12"/>
  <c r="BM56" i="12"/>
  <c r="BE56" i="12"/>
  <c r="Q56" i="12" s="1"/>
  <c r="BC56" i="12"/>
  <c r="BB56" i="12"/>
  <c r="AZ56" i="12"/>
  <c r="AY56" i="12"/>
  <c r="BD56" i="12" s="1"/>
  <c r="S56" i="12" s="1"/>
  <c r="AJ56" i="12"/>
  <c r="AG56" i="12"/>
  <c r="AF56" i="12"/>
  <c r="AE56" i="12"/>
  <c r="AC56" i="12"/>
  <c r="AB56" i="12"/>
  <c r="Z56" i="12"/>
  <c r="T56" i="12"/>
  <c r="R56" i="12"/>
  <c r="P56" i="12"/>
  <c r="K56" i="12"/>
  <c r="L56" i="12" s="1"/>
  <c r="BQ55" i="12"/>
  <c r="BO55" i="12"/>
  <c r="BN55" i="12"/>
  <c r="BM55" i="12"/>
  <c r="BE55" i="12"/>
  <c r="Q55" i="12" s="1"/>
  <c r="BC55" i="12"/>
  <c r="BB55" i="12"/>
  <c r="AZ55" i="12"/>
  <c r="AY55" i="12"/>
  <c r="BD55" i="12" s="1"/>
  <c r="S55" i="12" s="1"/>
  <c r="AJ55" i="12"/>
  <c r="AG55" i="12"/>
  <c r="AF55" i="12"/>
  <c r="AE55" i="12"/>
  <c r="AC55" i="12"/>
  <c r="AB55" i="12"/>
  <c r="Z55" i="12"/>
  <c r="T55" i="12"/>
  <c r="R55" i="12"/>
  <c r="P55" i="12"/>
  <c r="K55" i="12"/>
  <c r="L55" i="12" s="1"/>
  <c r="BQ54" i="12"/>
  <c r="BO54" i="12"/>
  <c r="BN54" i="12"/>
  <c r="BM54" i="12"/>
  <c r="BE54" i="12"/>
  <c r="Q54" i="12" s="1"/>
  <c r="BC54" i="12"/>
  <c r="BB54" i="12"/>
  <c r="AZ54" i="12"/>
  <c r="AY54" i="12"/>
  <c r="BD54" i="12" s="1"/>
  <c r="S54" i="12" s="1"/>
  <c r="AJ54" i="12"/>
  <c r="AG54" i="12"/>
  <c r="AF54" i="12"/>
  <c r="AE54" i="12"/>
  <c r="AC54" i="12"/>
  <c r="AB54" i="12"/>
  <c r="Z54" i="12"/>
  <c r="T54" i="12"/>
  <c r="R54" i="12"/>
  <c r="P54" i="12"/>
  <c r="K54" i="12"/>
  <c r="L54" i="12" s="1"/>
  <c r="BQ53" i="12"/>
  <c r="BO53" i="12"/>
  <c r="BN53" i="12"/>
  <c r="BM53" i="12"/>
  <c r="BE53" i="12"/>
  <c r="Q53" i="12" s="1"/>
  <c r="BC53" i="12"/>
  <c r="BB53" i="12"/>
  <c r="AZ53" i="12"/>
  <c r="AY53" i="12"/>
  <c r="BD53" i="12" s="1"/>
  <c r="S53" i="12" s="1"/>
  <c r="AJ53" i="12"/>
  <c r="AG53" i="12"/>
  <c r="AF53" i="12"/>
  <c r="AE53" i="12"/>
  <c r="AC53" i="12"/>
  <c r="AB53" i="12"/>
  <c r="Z53" i="12"/>
  <c r="T53" i="12"/>
  <c r="R53" i="12"/>
  <c r="P53" i="12"/>
  <c r="K53" i="12"/>
  <c r="L53" i="12" s="1"/>
  <c r="BQ52" i="12"/>
  <c r="BO52" i="12"/>
  <c r="BN52" i="12"/>
  <c r="BM52" i="12"/>
  <c r="BE52" i="12"/>
  <c r="Q52" i="12" s="1"/>
  <c r="BC52" i="12"/>
  <c r="BB52" i="12"/>
  <c r="AZ52" i="12"/>
  <c r="AY52" i="12"/>
  <c r="BD52" i="12" s="1"/>
  <c r="S52" i="12" s="1"/>
  <c r="AJ52" i="12"/>
  <c r="AG52" i="12"/>
  <c r="AF52" i="12"/>
  <c r="AE52" i="12"/>
  <c r="AC52" i="12"/>
  <c r="AB52" i="12"/>
  <c r="Z52" i="12"/>
  <c r="T52" i="12"/>
  <c r="R52" i="12"/>
  <c r="P52" i="12"/>
  <c r="K52" i="12"/>
  <c r="L52" i="12" s="1"/>
  <c r="BQ51" i="12"/>
  <c r="BO51" i="12"/>
  <c r="BN51" i="12"/>
  <c r="BM51" i="12"/>
  <c r="BE51" i="12"/>
  <c r="Q51" i="12" s="1"/>
  <c r="BC51" i="12"/>
  <c r="BB51" i="12"/>
  <c r="AZ51" i="12"/>
  <c r="AY51" i="12"/>
  <c r="BD51" i="12" s="1"/>
  <c r="S51" i="12" s="1"/>
  <c r="AJ51" i="12"/>
  <c r="AG51" i="12"/>
  <c r="AF51" i="12"/>
  <c r="AE51" i="12"/>
  <c r="AC51" i="12"/>
  <c r="AB51" i="12"/>
  <c r="Z51" i="12"/>
  <c r="T51" i="12"/>
  <c r="R51" i="12"/>
  <c r="P51" i="12"/>
  <c r="K51" i="12"/>
  <c r="L51" i="12" s="1"/>
  <c r="T12" i="12"/>
  <c r="T13" i="12"/>
  <c r="T14" i="12"/>
  <c r="T15" i="12"/>
  <c r="T16" i="12"/>
  <c r="T17" i="12"/>
  <c r="T18" i="12"/>
  <c r="T19" i="12"/>
  <c r="T20" i="12"/>
  <c r="T21" i="12"/>
  <c r="T22" i="12"/>
  <c r="T23" i="12"/>
  <c r="T24" i="12"/>
  <c r="T25" i="12"/>
  <c r="T26" i="12"/>
  <c r="T27" i="12"/>
  <c r="T28" i="12"/>
  <c r="T29" i="12"/>
  <c r="T30" i="12"/>
  <c r="T31" i="12"/>
  <c r="T32" i="12"/>
  <c r="T33" i="12"/>
  <c r="T34" i="12"/>
  <c r="T35" i="12"/>
  <c r="T36" i="12"/>
  <c r="T37" i="12"/>
  <c r="T38" i="12"/>
  <c r="T39" i="12"/>
  <c r="T40" i="12"/>
  <c r="T41" i="12"/>
  <c r="T42" i="12"/>
  <c r="T43" i="12"/>
  <c r="T44" i="12"/>
  <c r="T45" i="12"/>
  <c r="T46" i="12"/>
  <c r="T47" i="12"/>
  <c r="T48" i="12"/>
  <c r="T49" i="12"/>
  <c r="T50" i="12"/>
  <c r="T71" i="12"/>
  <c r="T72" i="12"/>
  <c r="T73" i="12"/>
  <c r="T74" i="12"/>
  <c r="T75" i="12"/>
  <c r="T76" i="12"/>
  <c r="T77" i="12"/>
  <c r="T78" i="12"/>
  <c r="T79" i="12"/>
  <c r="T80" i="12"/>
  <c r="T81" i="12"/>
  <c r="T82" i="12"/>
  <c r="T83" i="12"/>
  <c r="T84" i="12"/>
  <c r="T85" i="12"/>
  <c r="T86" i="12"/>
  <c r="E33" i="1"/>
  <c r="G33" i="1" s="1"/>
  <c r="G31" i="1"/>
  <c r="AV9" i="12"/>
  <c r="AX61" i="12" s="1"/>
  <c r="AL137" i="3"/>
  <c r="AK137" i="3"/>
  <c r="AJ137" i="3"/>
  <c r="AI137" i="3"/>
  <c r="AH137" i="3"/>
  <c r="AG137" i="3"/>
  <c r="AF137" i="3"/>
  <c r="AE137" i="3"/>
  <c r="AD137" i="3"/>
  <c r="AC137" i="3"/>
  <c r="AB137" i="3"/>
  <c r="AA137" i="3"/>
  <c r="Z137" i="3"/>
  <c r="Y137" i="3"/>
  <c r="X137" i="3"/>
  <c r="AL136" i="3"/>
  <c r="AK136" i="3"/>
  <c r="AJ136" i="3"/>
  <c r="AI136" i="3"/>
  <c r="AH136" i="3"/>
  <c r="AG136" i="3"/>
  <c r="AF136" i="3"/>
  <c r="AE136" i="3"/>
  <c r="AD136" i="3"/>
  <c r="AC136" i="3"/>
  <c r="AB136" i="3"/>
  <c r="AA136" i="3"/>
  <c r="Z136" i="3"/>
  <c r="Y136" i="3"/>
  <c r="X136" i="3"/>
  <c r="AL135" i="3"/>
  <c r="AK135" i="3"/>
  <c r="AJ135" i="3"/>
  <c r="AI135" i="3"/>
  <c r="AH135" i="3"/>
  <c r="AG135" i="3"/>
  <c r="AF135" i="3"/>
  <c r="AE135" i="3"/>
  <c r="AD135" i="3"/>
  <c r="AC135" i="3"/>
  <c r="AB135" i="3"/>
  <c r="AA135" i="3"/>
  <c r="Z135" i="3"/>
  <c r="Y135" i="3"/>
  <c r="X135" i="3"/>
  <c r="AL134" i="3"/>
  <c r="AK134" i="3"/>
  <c r="AJ134" i="3"/>
  <c r="AI134" i="3"/>
  <c r="AH134" i="3"/>
  <c r="AG134" i="3"/>
  <c r="AF134" i="3"/>
  <c r="AE134" i="3"/>
  <c r="AD134" i="3"/>
  <c r="AC134" i="3"/>
  <c r="AB134" i="3"/>
  <c r="AA134" i="3"/>
  <c r="Z134" i="3"/>
  <c r="Y134" i="3"/>
  <c r="X134" i="3"/>
  <c r="AL182" i="3"/>
  <c r="AK182" i="3"/>
  <c r="AJ182" i="3"/>
  <c r="AI182" i="3"/>
  <c r="AH182" i="3"/>
  <c r="AG182" i="3"/>
  <c r="AF182" i="3"/>
  <c r="AE182" i="3"/>
  <c r="AD182" i="3"/>
  <c r="AC182" i="3"/>
  <c r="AB182" i="3"/>
  <c r="AA182" i="3"/>
  <c r="Z182" i="3"/>
  <c r="Y182" i="3"/>
  <c r="X182" i="3"/>
  <c r="AL181" i="3"/>
  <c r="AK181" i="3"/>
  <c r="AJ181" i="3"/>
  <c r="AI181" i="3"/>
  <c r="AH181" i="3"/>
  <c r="AG181" i="3"/>
  <c r="AF181" i="3"/>
  <c r="AE181" i="3"/>
  <c r="AD181" i="3"/>
  <c r="AC181" i="3"/>
  <c r="AB181" i="3"/>
  <c r="AA181" i="3"/>
  <c r="Z181" i="3"/>
  <c r="Y181" i="3"/>
  <c r="X181" i="3"/>
  <c r="AL180" i="3"/>
  <c r="AK180" i="3"/>
  <c r="AJ180" i="3"/>
  <c r="AI180" i="3"/>
  <c r="AH180" i="3"/>
  <c r="AG180" i="3"/>
  <c r="AF180" i="3"/>
  <c r="AE180" i="3"/>
  <c r="AD180" i="3"/>
  <c r="AC180" i="3"/>
  <c r="AB180" i="3"/>
  <c r="AA180" i="3"/>
  <c r="Z180" i="3"/>
  <c r="Y180" i="3"/>
  <c r="X180" i="3"/>
  <c r="AL179" i="3"/>
  <c r="AK179" i="3"/>
  <c r="AJ179" i="3"/>
  <c r="AI179" i="3"/>
  <c r="AH179" i="3"/>
  <c r="AG179" i="3"/>
  <c r="AF179" i="3"/>
  <c r="AE179" i="3"/>
  <c r="AD179" i="3"/>
  <c r="AC179" i="3"/>
  <c r="AB179" i="3"/>
  <c r="AA179" i="3"/>
  <c r="Z179" i="3"/>
  <c r="Y179" i="3"/>
  <c r="X179" i="3"/>
  <c r="AL227" i="3"/>
  <c r="AL226" i="3"/>
  <c r="AL225" i="3"/>
  <c r="AL224" i="3"/>
  <c r="AK224" i="3"/>
  <c r="AJ224" i="3"/>
  <c r="AI224" i="3"/>
  <c r="AH224" i="3"/>
  <c r="AG224" i="3"/>
  <c r="AF224" i="3"/>
  <c r="AE224" i="3"/>
  <c r="AD224" i="3"/>
  <c r="AC224" i="3"/>
  <c r="AB224" i="3"/>
  <c r="AA224" i="3"/>
  <c r="Z224" i="3"/>
  <c r="Y224" i="3"/>
  <c r="X224" i="3"/>
  <c r="AK225" i="3"/>
  <c r="AJ225" i="3"/>
  <c r="AI225" i="3"/>
  <c r="AH225" i="3"/>
  <c r="AG225" i="3"/>
  <c r="AF225" i="3"/>
  <c r="AE225" i="3"/>
  <c r="AD225" i="3"/>
  <c r="AC225" i="3"/>
  <c r="AB225" i="3"/>
  <c r="AA225" i="3"/>
  <c r="Z225" i="3"/>
  <c r="Y225" i="3"/>
  <c r="X225" i="3"/>
  <c r="AK226" i="3"/>
  <c r="AJ226" i="3"/>
  <c r="AI226" i="3"/>
  <c r="AH226" i="3"/>
  <c r="AG226" i="3"/>
  <c r="AF226" i="3"/>
  <c r="AE226" i="3"/>
  <c r="AD226" i="3"/>
  <c r="AC226" i="3"/>
  <c r="AB226" i="3"/>
  <c r="AA226" i="3"/>
  <c r="Z226" i="3"/>
  <c r="Y226" i="3"/>
  <c r="X226" i="3"/>
  <c r="AK227" i="3"/>
  <c r="AJ227" i="3"/>
  <c r="AI227" i="3"/>
  <c r="AH227" i="3"/>
  <c r="AG227" i="3"/>
  <c r="AF227" i="3"/>
  <c r="AE227" i="3"/>
  <c r="AD227" i="3"/>
  <c r="AC227" i="3"/>
  <c r="AB227" i="3"/>
  <c r="AA227" i="3"/>
  <c r="Z227" i="3"/>
  <c r="Y227" i="3"/>
  <c r="X227" i="3"/>
  <c r="G57" i="1"/>
  <c r="N51" i="12" l="1"/>
  <c r="N70" i="12"/>
  <c r="BP51" i="12"/>
  <c r="N52" i="12"/>
  <c r="BP66" i="12"/>
  <c r="N57" i="12"/>
  <c r="BP59" i="12"/>
  <c r="BP61" i="12"/>
  <c r="O62" i="12"/>
  <c r="BP70" i="12"/>
  <c r="BP57" i="12"/>
  <c r="N58" i="12"/>
  <c r="N53" i="12"/>
  <c r="N60" i="12"/>
  <c r="BP53" i="12"/>
  <c r="N54" i="12"/>
  <c r="BP55" i="12"/>
  <c r="N59" i="12"/>
  <c r="BP62" i="12"/>
  <c r="O63" i="12"/>
  <c r="AW51" i="12"/>
  <c r="N66" i="12"/>
  <c r="O66" i="12"/>
  <c r="AW52" i="12"/>
  <c r="BP52" i="12"/>
  <c r="BP54" i="12"/>
  <c r="BP56" i="12"/>
  <c r="BP58" i="12"/>
  <c r="BP60" i="12"/>
  <c r="O61" i="12"/>
  <c r="O70" i="12"/>
  <c r="AW53" i="12"/>
  <c r="AV54" i="12"/>
  <c r="O56" i="12"/>
  <c r="O51" i="12"/>
  <c r="AX51" i="12"/>
  <c r="O52" i="12"/>
  <c r="AX52" i="12"/>
  <c r="O53" i="12"/>
  <c r="AW54" i="12"/>
  <c r="AV55" i="12"/>
  <c r="AW57" i="12"/>
  <c r="AW59" i="12"/>
  <c r="AX62" i="12"/>
  <c r="N63" i="12"/>
  <c r="N64" i="12"/>
  <c r="O64" i="12"/>
  <c r="AX67" i="12"/>
  <c r="O55" i="12"/>
  <c r="AX63" i="12"/>
  <c r="N55" i="12"/>
  <c r="AW55" i="12"/>
  <c r="N56" i="12"/>
  <c r="N62" i="12"/>
  <c r="U62" i="12" s="1"/>
  <c r="Y62" i="12" s="1"/>
  <c r="N65" i="12"/>
  <c r="O65" i="12"/>
  <c r="N68" i="12"/>
  <c r="O68" i="12"/>
  <c r="AW70" i="12"/>
  <c r="AW69" i="12"/>
  <c r="AW68" i="12"/>
  <c r="AW67" i="12"/>
  <c r="AW66" i="12"/>
  <c r="AW65" i="12"/>
  <c r="AW64" i="12"/>
  <c r="AV70" i="12"/>
  <c r="AV69" i="12"/>
  <c r="AV68" i="12"/>
  <c r="AV67" i="12"/>
  <c r="AV66" i="12"/>
  <c r="AV65" i="12"/>
  <c r="AV64" i="12"/>
  <c r="AV63" i="12"/>
  <c r="AV62" i="12"/>
  <c r="AV61" i="12"/>
  <c r="AV60" i="12"/>
  <c r="AX68" i="12"/>
  <c r="AX64" i="12"/>
  <c r="AW63" i="12"/>
  <c r="AW62" i="12"/>
  <c r="AW61" i="12"/>
  <c r="AW60" i="12"/>
  <c r="AV59" i="12"/>
  <c r="AV58" i="12"/>
  <c r="AV57" i="12"/>
  <c r="AV56" i="12"/>
  <c r="AX69" i="12"/>
  <c r="AX65" i="12"/>
  <c r="AX70" i="12"/>
  <c r="AX66" i="12"/>
  <c r="AX59" i="12"/>
  <c r="AX58" i="12"/>
  <c r="AX57" i="12"/>
  <c r="AX56" i="12"/>
  <c r="AX55" i="12"/>
  <c r="AX54" i="12"/>
  <c r="AX53" i="12"/>
  <c r="AV51" i="12"/>
  <c r="AV52" i="12"/>
  <c r="AV53" i="12"/>
  <c r="O54" i="12"/>
  <c r="AW56" i="12"/>
  <c r="AW58" i="12"/>
  <c r="AX60" i="12"/>
  <c r="N61" i="12"/>
  <c r="N67" i="12"/>
  <c r="O67" i="12"/>
  <c r="N69" i="12"/>
  <c r="U69" i="12" s="1"/>
  <c r="Y69" i="12" s="1"/>
  <c r="O69" i="12"/>
  <c r="O57" i="12"/>
  <c r="O58" i="12"/>
  <c r="O59" i="12"/>
  <c r="O60" i="12"/>
  <c r="BP65" i="12"/>
  <c r="BP69" i="12"/>
  <c r="BP64" i="12"/>
  <c r="BP68" i="12"/>
  <c r="BP63" i="12"/>
  <c r="BP67" i="12"/>
  <c r="U61" i="12" l="1"/>
  <c r="Y61" i="12" s="1"/>
  <c r="U56" i="12"/>
  <c r="Y56" i="12" s="1"/>
  <c r="U58" i="12"/>
  <c r="Y58" i="12" s="1"/>
  <c r="U52" i="12"/>
  <c r="Y52" i="12" s="1"/>
  <c r="U54" i="12"/>
  <c r="Y54" i="12" s="1"/>
  <c r="U55" i="12"/>
  <c r="Y55" i="12" s="1"/>
  <c r="U67" i="12"/>
  <c r="Y67" i="12" s="1"/>
  <c r="U64" i="12"/>
  <c r="U66" i="12"/>
  <c r="Y66" i="12" s="1"/>
  <c r="U59" i="12"/>
  <c r="Y59" i="12" s="1"/>
  <c r="U60" i="12"/>
  <c r="U57" i="12"/>
  <c r="Y57" i="12" s="1"/>
  <c r="U70" i="12"/>
  <c r="U65" i="12"/>
  <c r="Y65" i="12" s="1"/>
  <c r="U68" i="12"/>
  <c r="Y68" i="12" s="1"/>
  <c r="U63" i="12"/>
  <c r="Y63" i="12" s="1"/>
  <c r="U53" i="12"/>
  <c r="U51" i="12"/>
  <c r="W56" i="12"/>
  <c r="W54" i="12"/>
  <c r="W62" i="12"/>
  <c r="W69" i="12"/>
  <c r="W61" i="12"/>
  <c r="W68" i="12" l="1"/>
  <c r="W58" i="12"/>
  <c r="W67" i="12"/>
  <c r="W55" i="12"/>
  <c r="W53" i="12"/>
  <c r="Y53" i="12"/>
  <c r="W59" i="12"/>
  <c r="W64" i="12"/>
  <c r="Y64" i="12"/>
  <c r="W51" i="12"/>
  <c r="Y51" i="12"/>
  <c r="W70" i="12"/>
  <c r="Y70" i="12"/>
  <c r="W60" i="12"/>
  <c r="Y60" i="12"/>
  <c r="W65" i="12"/>
  <c r="W66" i="12"/>
  <c r="W57" i="12"/>
  <c r="W63" i="12"/>
  <c r="W52" i="12"/>
  <c r="BH67" i="12"/>
  <c r="BF67" i="12"/>
  <c r="BI67" i="12" s="1"/>
  <c r="BJ67" i="12" s="1"/>
  <c r="AD67" i="12"/>
  <c r="BG67" i="12"/>
  <c r="BH68" i="12"/>
  <c r="BG68" i="12"/>
  <c r="AD68" i="12"/>
  <c r="BF68" i="12"/>
  <c r="BI68" i="12" s="1"/>
  <c r="BJ68" i="12" s="1"/>
  <c r="BH69" i="12"/>
  <c r="BG69" i="12"/>
  <c r="AD69" i="12"/>
  <c r="BF69" i="12"/>
  <c r="BI69" i="12" s="1"/>
  <c r="BJ69" i="12" s="1"/>
  <c r="BH52" i="12"/>
  <c r="BG52" i="12"/>
  <c r="BF52" i="12"/>
  <c r="BI52" i="12" s="1"/>
  <c r="BJ52" i="12" s="1"/>
  <c r="AD52" i="12"/>
  <c r="BH51" i="12"/>
  <c r="BG51" i="12"/>
  <c r="BF51" i="12"/>
  <c r="BI51" i="12" s="1"/>
  <c r="BJ51" i="12" s="1"/>
  <c r="AD51" i="12"/>
  <c r="BH62" i="12"/>
  <c r="BF62" i="12"/>
  <c r="BI62" i="12" s="1"/>
  <c r="BJ62" i="12" s="1"/>
  <c r="AD62" i="12"/>
  <c r="BG62" i="12"/>
  <c r="BF53" i="12"/>
  <c r="BI53" i="12" s="1"/>
  <c r="BJ53" i="12" s="1"/>
  <c r="BH53" i="12"/>
  <c r="AD53" i="12"/>
  <c r="BG53" i="12"/>
  <c r="BH61" i="12"/>
  <c r="BF61" i="12"/>
  <c r="BI61" i="12" s="1"/>
  <c r="BJ61" i="12" s="1"/>
  <c r="AD61" i="12"/>
  <c r="BG61" i="12"/>
  <c r="BH58" i="12"/>
  <c r="BG58" i="12"/>
  <c r="BF58" i="12"/>
  <c r="BI58" i="12" s="1"/>
  <c r="BJ58" i="12" s="1"/>
  <c r="AD58" i="12"/>
  <c r="BH57" i="12"/>
  <c r="BG57" i="12"/>
  <c r="BF57" i="12"/>
  <c r="BI57" i="12" s="1"/>
  <c r="BJ57" i="12" s="1"/>
  <c r="AD57" i="12"/>
  <c r="BH63" i="12"/>
  <c r="BF63" i="12"/>
  <c r="BI63" i="12" s="1"/>
  <c r="BJ63" i="12" s="1"/>
  <c r="AD63" i="12"/>
  <c r="BG63" i="12"/>
  <c r="BF55" i="12"/>
  <c r="BI55" i="12" s="1"/>
  <c r="BJ55" i="12" s="1"/>
  <c r="AD55" i="12"/>
  <c r="BH55" i="12"/>
  <c r="BG55" i="12"/>
  <c r="BH59" i="12"/>
  <c r="BG59" i="12"/>
  <c r="BF59" i="12"/>
  <c r="BI59" i="12" s="1"/>
  <c r="BJ59" i="12" s="1"/>
  <c r="AD59" i="12"/>
  <c r="BF54" i="12"/>
  <c r="BI54" i="12" s="1"/>
  <c r="BJ54" i="12" s="1"/>
  <c r="AD54" i="12"/>
  <c r="BH54" i="12"/>
  <c r="BG54" i="12"/>
  <c r="BH56" i="12"/>
  <c r="BG56" i="12"/>
  <c r="BF56" i="12"/>
  <c r="BI56" i="12" s="1"/>
  <c r="BJ56" i="12" s="1"/>
  <c r="AD56" i="12"/>
  <c r="BH60" i="12"/>
  <c r="BF60" i="12"/>
  <c r="BI60" i="12" s="1"/>
  <c r="BJ60" i="12" s="1"/>
  <c r="AD60" i="12"/>
  <c r="BG60" i="12"/>
  <c r="BH66" i="12"/>
  <c r="BG66" i="12"/>
  <c r="AD66" i="12"/>
  <c r="BF66" i="12"/>
  <c r="BI66" i="12" s="1"/>
  <c r="BJ66" i="12" s="1"/>
  <c r="BH70" i="12"/>
  <c r="BG70" i="12"/>
  <c r="AD70" i="12"/>
  <c r="BF70" i="12"/>
  <c r="BI70" i="12" s="1"/>
  <c r="BJ70" i="12" s="1"/>
  <c r="BH65" i="12"/>
  <c r="BG65" i="12"/>
  <c r="AD65" i="12"/>
  <c r="BF65" i="12"/>
  <c r="BI65" i="12" s="1"/>
  <c r="BJ65" i="12" s="1"/>
  <c r="BH64" i="12"/>
  <c r="BG64" i="12"/>
  <c r="AD64" i="12"/>
  <c r="BF64" i="12"/>
  <c r="BI64" i="12" s="1"/>
  <c r="BJ64" i="12" s="1"/>
  <c r="AM64" i="12" l="1"/>
  <c r="AN64" i="12" s="1"/>
  <c r="AM65" i="12"/>
  <c r="AM55" i="12"/>
  <c r="AM57" i="12"/>
  <c r="AM53" i="12"/>
  <c r="AN53" i="12" s="1"/>
  <c r="AM62" i="12"/>
  <c r="AM69" i="12"/>
  <c r="AM56" i="12"/>
  <c r="AM59" i="12"/>
  <c r="AN59" i="12" s="1"/>
  <c r="AM58" i="12"/>
  <c r="AM51" i="12"/>
  <c r="AM63" i="12"/>
  <c r="AM70" i="12"/>
  <c r="AQ70" i="12" s="1"/>
  <c r="AN65" i="12"/>
  <c r="AM67" i="12"/>
  <c r="AN55" i="12"/>
  <c r="AM66" i="12"/>
  <c r="AM60" i="12"/>
  <c r="AM54" i="12"/>
  <c r="AM61" i="12"/>
  <c r="AM52" i="12"/>
  <c r="AM68" i="12"/>
  <c r="AP68" i="12" l="1"/>
  <c r="AQ68" i="12"/>
  <c r="AP66" i="12"/>
  <c r="AQ66" i="12"/>
  <c r="AP63" i="12"/>
  <c r="AQ63" i="12"/>
  <c r="AP56" i="12"/>
  <c r="AQ56" i="12"/>
  <c r="AP61" i="12"/>
  <c r="AQ61" i="12"/>
  <c r="AP51" i="12"/>
  <c r="AQ51" i="12"/>
  <c r="AP69" i="12"/>
  <c r="AQ69" i="12"/>
  <c r="AP55" i="12"/>
  <c r="AQ55" i="12"/>
  <c r="AP52" i="12"/>
  <c r="AQ52" i="12"/>
  <c r="AP57" i="12"/>
  <c r="AQ57" i="12"/>
  <c r="AP54" i="12"/>
  <c r="AQ54" i="12"/>
  <c r="AP58" i="12"/>
  <c r="AQ58" i="12"/>
  <c r="AP62" i="12"/>
  <c r="AQ62" i="12"/>
  <c r="AP65" i="12"/>
  <c r="AQ65" i="12"/>
  <c r="AP60" i="12"/>
  <c r="AQ60" i="12"/>
  <c r="AP67" i="12"/>
  <c r="AQ67" i="12"/>
  <c r="AP59" i="12"/>
  <c r="AQ59" i="12"/>
  <c r="AP53" i="12"/>
  <c r="AQ53" i="12"/>
  <c r="AP64" i="12"/>
  <c r="AQ64" i="12"/>
  <c r="AN69" i="12"/>
  <c r="AN51" i="12"/>
  <c r="AN57" i="12"/>
  <c r="AN62" i="12"/>
  <c r="AN56" i="12"/>
  <c r="AN63" i="12"/>
  <c r="AN58" i="12"/>
  <c r="AN70" i="12"/>
  <c r="AP70" i="12"/>
  <c r="AN68" i="12"/>
  <c r="AN66" i="12"/>
  <c r="AN52" i="12"/>
  <c r="AN54" i="12"/>
  <c r="AN61" i="12"/>
  <c r="AN60" i="12"/>
  <c r="AN67" i="12"/>
  <c r="N35" i="1" l="1"/>
  <c r="N36" i="1"/>
  <c r="N37" i="1"/>
  <c r="V165" i="3" l="1"/>
  <c r="V166" i="3"/>
  <c r="V167" i="3"/>
  <c r="V168" i="3"/>
  <c r="V169" i="3"/>
  <c r="V170" i="3"/>
  <c r="V171" i="3"/>
  <c r="V172" i="3"/>
  <c r="V173" i="3"/>
  <c r="V174" i="3"/>
  <c r="V175" i="3"/>
  <c r="V176" i="3"/>
  <c r="V177" i="3"/>
  <c r="V178" i="3"/>
  <c r="V179" i="3"/>
  <c r="V180" i="3"/>
  <c r="V181" i="3"/>
  <c r="V182" i="3"/>
  <c r="V183" i="3"/>
  <c r="V184" i="3"/>
  <c r="V185" i="3"/>
  <c r="V186" i="3"/>
  <c r="V187" i="3"/>
  <c r="V188" i="3"/>
  <c r="V189" i="3"/>
  <c r="V190" i="3"/>
  <c r="V191" i="3"/>
  <c r="V192" i="3"/>
  <c r="V193" i="3"/>
  <c r="V194" i="3"/>
  <c r="V195" i="3"/>
  <c r="V196" i="3"/>
  <c r="V197" i="3"/>
  <c r="V198" i="3"/>
  <c r="V199" i="3"/>
  <c r="V200" i="3"/>
  <c r="V201" i="3"/>
  <c r="V202" i="3"/>
  <c r="V203" i="3"/>
  <c r="V204" i="3"/>
  <c r="V205" i="3"/>
  <c r="V206" i="3"/>
  <c r="V210" i="3"/>
  <c r="V211" i="3"/>
  <c r="V212" i="3"/>
  <c r="V213" i="3"/>
  <c r="V214" i="3"/>
  <c r="V215" i="3"/>
  <c r="V216" i="3"/>
  <c r="V217" i="3"/>
  <c r="V218" i="3"/>
  <c r="V219" i="3"/>
  <c r="V220" i="3"/>
  <c r="V221" i="3"/>
  <c r="V222" i="3"/>
  <c r="V223" i="3"/>
  <c r="V224" i="3"/>
  <c r="V225" i="3"/>
  <c r="V226" i="3"/>
  <c r="V227" i="3"/>
  <c r="V228" i="3"/>
  <c r="V229" i="3"/>
  <c r="V230" i="3"/>
  <c r="V231" i="3"/>
  <c r="V232" i="3"/>
  <c r="V233" i="3"/>
  <c r="V234" i="3"/>
  <c r="V235" i="3"/>
  <c r="V236" i="3"/>
  <c r="V237" i="3"/>
  <c r="V238" i="3"/>
  <c r="V239" i="3"/>
  <c r="V240" i="3"/>
  <c r="V241" i="3"/>
  <c r="V242" i="3"/>
  <c r="V243" i="3"/>
  <c r="V244" i="3"/>
  <c r="V245" i="3"/>
  <c r="V246" i="3"/>
  <c r="V247" i="3"/>
  <c r="V248" i="3"/>
  <c r="V249" i="3"/>
  <c r="V250" i="3"/>
  <c r="V251" i="3"/>
  <c r="V75" i="3"/>
  <c r="V76" i="3"/>
  <c r="V77" i="3"/>
  <c r="V78" i="3"/>
  <c r="V79" i="3"/>
  <c r="V80" i="3"/>
  <c r="V81" i="3"/>
  <c r="V82" i="3"/>
  <c r="V83" i="3"/>
  <c r="V84" i="3"/>
  <c r="V85" i="3"/>
  <c r="V86" i="3"/>
  <c r="V87" i="3"/>
  <c r="V88" i="3"/>
  <c r="V89" i="3"/>
  <c r="V90" i="3"/>
  <c r="V91" i="3"/>
  <c r="V92" i="3"/>
  <c r="V93" i="3"/>
  <c r="V94" i="3"/>
  <c r="V95" i="3"/>
  <c r="V96" i="3"/>
  <c r="V97" i="3"/>
  <c r="V98" i="3"/>
  <c r="V99" i="3"/>
  <c r="V100" i="3"/>
  <c r="V101" i="3"/>
  <c r="V102" i="3"/>
  <c r="V103" i="3"/>
  <c r="V104" i="3"/>
  <c r="V105" i="3"/>
  <c r="V106" i="3"/>
  <c r="V107" i="3"/>
  <c r="V108" i="3"/>
  <c r="V109" i="3"/>
  <c r="V110" i="3"/>
  <c r="V111" i="3"/>
  <c r="V112" i="3"/>
  <c r="V113" i="3"/>
  <c r="V114" i="3"/>
  <c r="V115" i="3"/>
  <c r="V116" i="3"/>
  <c r="V120" i="3"/>
  <c r="V121" i="3"/>
  <c r="V122" i="3"/>
  <c r="V123" i="3"/>
  <c r="V124" i="3"/>
  <c r="V125" i="3"/>
  <c r="V126" i="3"/>
  <c r="V127" i="3"/>
  <c r="V128" i="3"/>
  <c r="V129" i="3"/>
  <c r="V130" i="3"/>
  <c r="V131" i="3"/>
  <c r="V132" i="3"/>
  <c r="V133" i="3"/>
  <c r="V134" i="3"/>
  <c r="V135" i="3"/>
  <c r="V136" i="3"/>
  <c r="V137" i="3"/>
  <c r="V138" i="3"/>
  <c r="V139" i="3"/>
  <c r="V140" i="3"/>
  <c r="V141" i="3"/>
  <c r="V142" i="3"/>
  <c r="V143" i="3"/>
  <c r="V144" i="3"/>
  <c r="V145" i="3"/>
  <c r="V146" i="3"/>
  <c r="V147" i="3"/>
  <c r="V148" i="3"/>
  <c r="V149" i="3"/>
  <c r="V150" i="3"/>
  <c r="V151" i="3"/>
  <c r="V152" i="3"/>
  <c r="V153" i="3"/>
  <c r="V154" i="3"/>
  <c r="V155" i="3"/>
  <c r="V156" i="3"/>
  <c r="V157" i="3"/>
  <c r="V158" i="3"/>
  <c r="V159" i="3"/>
  <c r="V160" i="3"/>
  <c r="V161" i="3"/>
  <c r="H31" i="1" l="1"/>
  <c r="K13" i="12" l="1"/>
  <c r="K14" i="12"/>
  <c r="K15" i="12"/>
  <c r="K16" i="12"/>
  <c r="K17" i="12"/>
  <c r="K18" i="12"/>
  <c r="K19" i="12"/>
  <c r="K20" i="12"/>
  <c r="K21" i="12"/>
  <c r="K22" i="12"/>
  <c r="K23" i="12"/>
  <c r="K24" i="12"/>
  <c r="K25" i="12"/>
  <c r="K26" i="12"/>
  <c r="K27" i="12"/>
  <c r="K28" i="12"/>
  <c r="K29" i="12"/>
  <c r="K30" i="12"/>
  <c r="K31" i="12"/>
  <c r="K32" i="12"/>
  <c r="K33" i="12"/>
  <c r="K34" i="12"/>
  <c r="K35" i="12"/>
  <c r="K36" i="12"/>
  <c r="K37" i="12"/>
  <c r="K38" i="12"/>
  <c r="K39" i="12"/>
  <c r="K40" i="12"/>
  <c r="K41" i="12"/>
  <c r="K42" i="12"/>
  <c r="K43" i="12"/>
  <c r="K44" i="12"/>
  <c r="K45" i="12"/>
  <c r="K46" i="12"/>
  <c r="K47" i="12"/>
  <c r="K48" i="12"/>
  <c r="K49" i="12"/>
  <c r="K50" i="12"/>
  <c r="K71" i="12"/>
  <c r="K72" i="12"/>
  <c r="K73" i="12"/>
  <c r="K74" i="12"/>
  <c r="K75" i="12"/>
  <c r="K76" i="12"/>
  <c r="K77" i="12"/>
  <c r="K78" i="12"/>
  <c r="K79" i="12"/>
  <c r="K80" i="12"/>
  <c r="K81" i="12"/>
  <c r="K82" i="12"/>
  <c r="K83" i="12"/>
  <c r="K84" i="12"/>
  <c r="K85" i="12"/>
  <c r="K86" i="12"/>
  <c r="K12" i="12"/>
  <c r="B4" i="3"/>
  <c r="R13" i="12" l="1"/>
  <c r="R14" i="12"/>
  <c r="R15" i="12"/>
  <c r="R16" i="12"/>
  <c r="R17" i="12"/>
  <c r="R18" i="12"/>
  <c r="R19" i="12"/>
  <c r="R20" i="12"/>
  <c r="R21" i="12"/>
  <c r="R22" i="12"/>
  <c r="R23" i="12"/>
  <c r="R24" i="12"/>
  <c r="R25" i="12"/>
  <c r="R26" i="12"/>
  <c r="R27" i="12"/>
  <c r="R28" i="12"/>
  <c r="R29" i="12"/>
  <c r="R30" i="12"/>
  <c r="R31" i="12"/>
  <c r="R32" i="12"/>
  <c r="R33" i="12"/>
  <c r="R34" i="12"/>
  <c r="R35" i="12"/>
  <c r="R36" i="12"/>
  <c r="R37" i="12"/>
  <c r="R38" i="12"/>
  <c r="R39" i="12"/>
  <c r="R40" i="12"/>
  <c r="R41" i="12"/>
  <c r="R42" i="12"/>
  <c r="R43" i="12"/>
  <c r="R44" i="12"/>
  <c r="R45" i="12"/>
  <c r="R46" i="12"/>
  <c r="R47" i="12"/>
  <c r="R48" i="12"/>
  <c r="R49" i="12"/>
  <c r="R50" i="12"/>
  <c r="R71" i="12"/>
  <c r="R72" i="12"/>
  <c r="R73" i="12"/>
  <c r="R74" i="12"/>
  <c r="R75" i="12"/>
  <c r="R76" i="12"/>
  <c r="R77" i="12"/>
  <c r="R78" i="12"/>
  <c r="R79" i="12"/>
  <c r="R80" i="12"/>
  <c r="R81" i="12"/>
  <c r="R82" i="12"/>
  <c r="R83" i="12"/>
  <c r="R84" i="12"/>
  <c r="R85" i="12"/>
  <c r="R86" i="12"/>
  <c r="AY13" i="12" l="1"/>
  <c r="AY14" i="12"/>
  <c r="AY15" i="12"/>
  <c r="AY16" i="12"/>
  <c r="AY17" i="12"/>
  <c r="AY18" i="12"/>
  <c r="AY19" i="12"/>
  <c r="AY20" i="12"/>
  <c r="AY21" i="12"/>
  <c r="AY22" i="12"/>
  <c r="AY23" i="12"/>
  <c r="AY24" i="12"/>
  <c r="AY25" i="12"/>
  <c r="AY26" i="12"/>
  <c r="AY27" i="12"/>
  <c r="AY28" i="12"/>
  <c r="AY29" i="12"/>
  <c r="AY30" i="12"/>
  <c r="AY31" i="12"/>
  <c r="AY32" i="12"/>
  <c r="AY33" i="12"/>
  <c r="AY34" i="12"/>
  <c r="AY35" i="12"/>
  <c r="AY36" i="12"/>
  <c r="AY37" i="12"/>
  <c r="AY38" i="12"/>
  <c r="AY39" i="12"/>
  <c r="AY40" i="12"/>
  <c r="AY41" i="12"/>
  <c r="AY42" i="12"/>
  <c r="AY43" i="12"/>
  <c r="AY44" i="12"/>
  <c r="AY45" i="12"/>
  <c r="AY46" i="12"/>
  <c r="AY47" i="12"/>
  <c r="AY48" i="12"/>
  <c r="AY49" i="12"/>
  <c r="AY50" i="12"/>
  <c r="AY71" i="12"/>
  <c r="AY72" i="12"/>
  <c r="AY73" i="12"/>
  <c r="AY74" i="12"/>
  <c r="AY75" i="12"/>
  <c r="AY76" i="12"/>
  <c r="AY77" i="12"/>
  <c r="AY78" i="12"/>
  <c r="AY79" i="12"/>
  <c r="AY80" i="12"/>
  <c r="AY81" i="12"/>
  <c r="AY82" i="12"/>
  <c r="AY83" i="12"/>
  <c r="AY84" i="12"/>
  <c r="AY85" i="12"/>
  <c r="AY86" i="12"/>
  <c r="AY12" i="12"/>
  <c r="R12" i="12" l="1"/>
  <c r="E32" i="1" l="1"/>
  <c r="E34" i="1"/>
  <c r="C5" i="1" l="1"/>
  <c r="G10" i="3" l="1"/>
  <c r="H10" i="3"/>
  <c r="H11" i="3" s="1"/>
  <c r="G11" i="3"/>
  <c r="G12" i="3"/>
  <c r="D18" i="3"/>
  <c r="C18" i="3"/>
  <c r="H12" i="3" l="1"/>
  <c r="BK62" i="12"/>
  <c r="BL62" i="12" s="1"/>
  <c r="BK51" i="12"/>
  <c r="BL51" i="12" s="1"/>
  <c r="BK59" i="12"/>
  <c r="BL59" i="12" s="1"/>
  <c r="BK56" i="12"/>
  <c r="BL56" i="12" s="1"/>
  <c r="BK69" i="12"/>
  <c r="BL69" i="12" s="1"/>
  <c r="BK70" i="12"/>
  <c r="BL70" i="12" s="1"/>
  <c r="BK65" i="12"/>
  <c r="BL65" i="12" s="1"/>
  <c r="BK63" i="12"/>
  <c r="BL63" i="12" s="1"/>
  <c r="BK57" i="12"/>
  <c r="BL57" i="12" s="1"/>
  <c r="BK66" i="12"/>
  <c r="BL66" i="12" s="1"/>
  <c r="BK61" i="12"/>
  <c r="BL61" i="12" s="1"/>
  <c r="BK53" i="12"/>
  <c r="BL53" i="12" s="1"/>
  <c r="BK58" i="12"/>
  <c r="BL58" i="12" s="1"/>
  <c r="BK54" i="12"/>
  <c r="BL54" i="12" s="1"/>
  <c r="BK67" i="12"/>
  <c r="BL67" i="12" s="1"/>
  <c r="BK60" i="12"/>
  <c r="BL60" i="12" s="1"/>
  <c r="BK68" i="12"/>
  <c r="BL68" i="12" s="1"/>
  <c r="BK55" i="12"/>
  <c r="BL55" i="12" s="1"/>
  <c r="BK52" i="12"/>
  <c r="BL52" i="12" s="1"/>
  <c r="BK64" i="12"/>
  <c r="BL64" i="12" s="1"/>
  <c r="E18" i="3"/>
  <c r="AE23" i="12" l="1"/>
  <c r="AE24" i="12"/>
  <c r="AE25" i="12"/>
  <c r="AE26" i="12"/>
  <c r="AE27" i="12"/>
  <c r="AE28" i="12"/>
  <c r="AE29" i="12"/>
  <c r="AE30" i="12"/>
  <c r="AE31" i="12"/>
  <c r="AE32" i="12"/>
  <c r="AE33" i="12"/>
  <c r="AE34" i="12"/>
  <c r="AE35" i="12"/>
  <c r="AE36" i="12"/>
  <c r="AE37" i="12"/>
  <c r="AE38" i="12"/>
  <c r="AE39" i="12"/>
  <c r="AE40" i="12"/>
  <c r="AE41" i="12"/>
  <c r="AE42" i="12"/>
  <c r="AE43" i="12"/>
  <c r="AE44" i="12"/>
  <c r="AE45" i="12"/>
  <c r="AE46" i="12"/>
  <c r="AE47" i="12"/>
  <c r="AE48" i="12"/>
  <c r="AE49" i="12"/>
  <c r="AE50" i="12"/>
  <c r="AE71" i="12"/>
  <c r="AE72" i="12"/>
  <c r="AE73" i="12"/>
  <c r="AE74" i="12"/>
  <c r="AE75" i="12"/>
  <c r="AE76" i="12"/>
  <c r="AE77" i="12"/>
  <c r="AE78" i="12"/>
  <c r="AE79" i="12"/>
  <c r="AE80" i="12"/>
  <c r="AE81" i="12"/>
  <c r="AE82" i="12"/>
  <c r="AE83" i="12"/>
  <c r="AE84" i="12"/>
  <c r="AE85" i="12"/>
  <c r="AE86" i="12"/>
  <c r="BM13" i="12" l="1"/>
  <c r="BN13" i="12"/>
  <c r="BO13" i="12"/>
  <c r="BQ13" i="12"/>
  <c r="BM14" i="12"/>
  <c r="BN14" i="12"/>
  <c r="BO14" i="12"/>
  <c r="BQ14" i="12"/>
  <c r="BM15" i="12"/>
  <c r="BN15" i="12"/>
  <c r="BO15" i="12"/>
  <c r="BQ15" i="12"/>
  <c r="BM16" i="12"/>
  <c r="BN16" i="12"/>
  <c r="BO16" i="12"/>
  <c r="BQ16" i="12"/>
  <c r="BM17" i="12"/>
  <c r="BN17" i="12"/>
  <c r="BO17" i="12"/>
  <c r="BQ17" i="12"/>
  <c r="BM18" i="12"/>
  <c r="BN18" i="12"/>
  <c r="BO18" i="12"/>
  <c r="BQ18" i="12"/>
  <c r="BM19" i="12"/>
  <c r="BN19" i="12"/>
  <c r="BO19" i="12"/>
  <c r="BQ19" i="12"/>
  <c r="BM20" i="12"/>
  <c r="BN20" i="12"/>
  <c r="BO20" i="12"/>
  <c r="BQ20" i="12"/>
  <c r="BM21" i="12"/>
  <c r="BN21" i="12"/>
  <c r="BO21" i="12"/>
  <c r="BQ21" i="12"/>
  <c r="BM22" i="12"/>
  <c r="BN22" i="12"/>
  <c r="BO22" i="12"/>
  <c r="BQ22" i="12"/>
  <c r="BM23" i="12"/>
  <c r="BN23" i="12"/>
  <c r="BO23" i="12"/>
  <c r="BQ23" i="12"/>
  <c r="BM24" i="12"/>
  <c r="BN24" i="12"/>
  <c r="BO24" i="12"/>
  <c r="BQ24" i="12"/>
  <c r="BM25" i="12"/>
  <c r="BN25" i="12"/>
  <c r="BO25" i="12"/>
  <c r="BQ25" i="12"/>
  <c r="BM26" i="12"/>
  <c r="BN26" i="12"/>
  <c r="BO26" i="12"/>
  <c r="BQ26" i="12"/>
  <c r="BM27" i="12"/>
  <c r="BN27" i="12"/>
  <c r="BO27" i="12"/>
  <c r="BQ27" i="12"/>
  <c r="BM28" i="12"/>
  <c r="BN28" i="12"/>
  <c r="BO28" i="12"/>
  <c r="BQ28" i="12"/>
  <c r="BM29" i="12"/>
  <c r="BN29" i="12"/>
  <c r="BO29" i="12"/>
  <c r="BQ29" i="12"/>
  <c r="BM30" i="12"/>
  <c r="BN30" i="12"/>
  <c r="BO30" i="12"/>
  <c r="BQ30" i="12"/>
  <c r="BM31" i="12"/>
  <c r="BN31" i="12"/>
  <c r="BO31" i="12"/>
  <c r="BQ31" i="12"/>
  <c r="BM32" i="12"/>
  <c r="BN32" i="12"/>
  <c r="BO32" i="12"/>
  <c r="BQ32" i="12"/>
  <c r="BM33" i="12"/>
  <c r="BN33" i="12"/>
  <c r="BO33" i="12"/>
  <c r="BQ33" i="12"/>
  <c r="BM34" i="12"/>
  <c r="BN34" i="12"/>
  <c r="BO34" i="12"/>
  <c r="BQ34" i="12"/>
  <c r="BM35" i="12"/>
  <c r="BN35" i="12"/>
  <c r="BO35" i="12"/>
  <c r="BQ35" i="12"/>
  <c r="BM36" i="12"/>
  <c r="BN36" i="12"/>
  <c r="BO36" i="12"/>
  <c r="BQ36" i="12"/>
  <c r="BM37" i="12"/>
  <c r="BN37" i="12"/>
  <c r="BO37" i="12"/>
  <c r="BQ37" i="12"/>
  <c r="BM38" i="12"/>
  <c r="BN38" i="12"/>
  <c r="BO38" i="12"/>
  <c r="BQ38" i="12"/>
  <c r="BM39" i="12"/>
  <c r="BN39" i="12"/>
  <c r="BO39" i="12"/>
  <c r="BQ39" i="12"/>
  <c r="BM40" i="12"/>
  <c r="BN40" i="12"/>
  <c r="BO40" i="12"/>
  <c r="BQ40" i="12"/>
  <c r="BM41" i="12"/>
  <c r="BN41" i="12"/>
  <c r="BO41" i="12"/>
  <c r="BQ41" i="12"/>
  <c r="BM42" i="12"/>
  <c r="BN42" i="12"/>
  <c r="BO42" i="12"/>
  <c r="BQ42" i="12"/>
  <c r="BM43" i="12"/>
  <c r="BN43" i="12"/>
  <c r="BO43" i="12"/>
  <c r="BQ43" i="12"/>
  <c r="BM44" i="12"/>
  <c r="BN44" i="12"/>
  <c r="BO44" i="12"/>
  <c r="BQ44" i="12"/>
  <c r="BM45" i="12"/>
  <c r="BN45" i="12"/>
  <c r="BO45" i="12"/>
  <c r="BQ45" i="12"/>
  <c r="BM46" i="12"/>
  <c r="BN46" i="12"/>
  <c r="BO46" i="12"/>
  <c r="BQ46" i="12"/>
  <c r="BM47" i="12"/>
  <c r="BN47" i="12"/>
  <c r="BO47" i="12"/>
  <c r="BQ47" i="12"/>
  <c r="BM48" i="12"/>
  <c r="BN48" i="12"/>
  <c r="BO48" i="12"/>
  <c r="BQ48" i="12"/>
  <c r="BM49" i="12"/>
  <c r="BN49" i="12"/>
  <c r="BO49" i="12"/>
  <c r="BQ49" i="12"/>
  <c r="BM50" i="12"/>
  <c r="BN50" i="12"/>
  <c r="BO50" i="12"/>
  <c r="BQ50" i="12"/>
  <c r="BM71" i="12"/>
  <c r="BN71" i="12"/>
  <c r="BO71" i="12"/>
  <c r="BQ71" i="12"/>
  <c r="BM72" i="12"/>
  <c r="BN72" i="12"/>
  <c r="BO72" i="12"/>
  <c r="BQ72" i="12"/>
  <c r="BM73" i="12"/>
  <c r="BN73" i="12"/>
  <c r="BO73" i="12"/>
  <c r="BQ73" i="12"/>
  <c r="BM74" i="12"/>
  <c r="BN74" i="12"/>
  <c r="BO74" i="12"/>
  <c r="BQ74" i="12"/>
  <c r="BM75" i="12"/>
  <c r="BN75" i="12"/>
  <c r="BO75" i="12"/>
  <c r="BQ75" i="12"/>
  <c r="BM76" i="12"/>
  <c r="BN76" i="12"/>
  <c r="BO76" i="12"/>
  <c r="BQ76" i="12"/>
  <c r="BM77" i="12"/>
  <c r="BN77" i="12"/>
  <c r="BO77" i="12"/>
  <c r="BQ77" i="12"/>
  <c r="BM78" i="12"/>
  <c r="BN78" i="12"/>
  <c r="BO78" i="12"/>
  <c r="BQ78" i="12"/>
  <c r="BM79" i="12"/>
  <c r="BN79" i="12"/>
  <c r="BO79" i="12"/>
  <c r="BQ79" i="12"/>
  <c r="BM80" i="12"/>
  <c r="BN80" i="12"/>
  <c r="BO80" i="12"/>
  <c r="BQ80" i="12"/>
  <c r="BM81" i="12"/>
  <c r="BN81" i="12"/>
  <c r="BO81" i="12"/>
  <c r="BQ81" i="12"/>
  <c r="BM82" i="12"/>
  <c r="BN82" i="12"/>
  <c r="BO82" i="12"/>
  <c r="BQ82" i="12"/>
  <c r="BM83" i="12"/>
  <c r="BN83" i="12"/>
  <c r="BO83" i="12"/>
  <c r="BQ83" i="12"/>
  <c r="BM84" i="12"/>
  <c r="BN84" i="12"/>
  <c r="BO84" i="12"/>
  <c r="BQ84" i="12"/>
  <c r="BM85" i="12"/>
  <c r="BN85" i="12"/>
  <c r="BO85" i="12"/>
  <c r="BQ85" i="12"/>
  <c r="BM86" i="12"/>
  <c r="BN86" i="12"/>
  <c r="BO86" i="12"/>
  <c r="BQ86" i="12"/>
  <c r="BQ12" i="12"/>
  <c r="BO12" i="12"/>
  <c r="BN12" i="12"/>
  <c r="BM12" i="12"/>
  <c r="BP14" i="12" l="1"/>
  <c r="BP18" i="12"/>
  <c r="BP30" i="12"/>
  <c r="BP86" i="12"/>
  <c r="BP50" i="12"/>
  <c r="BP34" i="12"/>
  <c r="BP38" i="12"/>
  <c r="BP82" i="12"/>
  <c r="BP81" i="12"/>
  <c r="BP80" i="12"/>
  <c r="BP78" i="12"/>
  <c r="BP77" i="12"/>
  <c r="BP46" i="12"/>
  <c r="BP13" i="12"/>
  <c r="BP76" i="12"/>
  <c r="BP74" i="12"/>
  <c r="BP35" i="12"/>
  <c r="BP45" i="12"/>
  <c r="BP44" i="12"/>
  <c r="BP42" i="12"/>
  <c r="BP41" i="12"/>
  <c r="BP40" i="12"/>
  <c r="BP22" i="12"/>
  <c r="BP19" i="12"/>
  <c r="BP29" i="12"/>
  <c r="BP28" i="12"/>
  <c r="BP26" i="12"/>
  <c r="BP25" i="12"/>
  <c r="BP24" i="12"/>
  <c r="BP71" i="12"/>
  <c r="BP83" i="12"/>
  <c r="BP73" i="12"/>
  <c r="BP72" i="12"/>
  <c r="BP47" i="12"/>
  <c r="BP37" i="12"/>
  <c r="BP36" i="12"/>
  <c r="BP31" i="12"/>
  <c r="BP21" i="12"/>
  <c r="BP20" i="12"/>
  <c r="BP15" i="12"/>
  <c r="BP85" i="12"/>
  <c r="BP84" i="12"/>
  <c r="BP79" i="12"/>
  <c r="BP49" i="12"/>
  <c r="BP48" i="12"/>
  <c r="BP43" i="12"/>
  <c r="BP33" i="12"/>
  <c r="BP32" i="12"/>
  <c r="BP27" i="12"/>
  <c r="BP17" i="12"/>
  <c r="BP16" i="12"/>
  <c r="BP75" i="12"/>
  <c r="BP39" i="12"/>
  <c r="BP23" i="12"/>
  <c r="BP12" i="12"/>
  <c r="D147" i="12" l="1"/>
  <c r="C4" i="12"/>
  <c r="F7" i="3" l="1"/>
  <c r="F6" i="3"/>
  <c r="BB86" i="12" l="1"/>
  <c r="BB85" i="12"/>
  <c r="BB84" i="12"/>
  <c r="BB83" i="12"/>
  <c r="BB82" i="12"/>
  <c r="BB81" i="12"/>
  <c r="BB80" i="12"/>
  <c r="BB79" i="12"/>
  <c r="BB78" i="12"/>
  <c r="BB77" i="12"/>
  <c r="BB76" i="12"/>
  <c r="BB75" i="12"/>
  <c r="BB74" i="12"/>
  <c r="BB73" i="12"/>
  <c r="BB72" i="12"/>
  <c r="BB71" i="12"/>
  <c r="BB50" i="12"/>
  <c r="BB49" i="12"/>
  <c r="BB48" i="12"/>
  <c r="BB47" i="12"/>
  <c r="BB46" i="12"/>
  <c r="BB45" i="12"/>
  <c r="BB44" i="12"/>
  <c r="BB43" i="12"/>
  <c r="BB42" i="12"/>
  <c r="BB41" i="12"/>
  <c r="BB40" i="12"/>
  <c r="BB39" i="12"/>
  <c r="BB38" i="12"/>
  <c r="BB37" i="12"/>
  <c r="BB36" i="12"/>
  <c r="BB35" i="12"/>
  <c r="BB34" i="12"/>
  <c r="BB33" i="12"/>
  <c r="BB32" i="12"/>
  <c r="BB31" i="12"/>
  <c r="BB30" i="12"/>
  <c r="BB29" i="12"/>
  <c r="BB28" i="12"/>
  <c r="BB27" i="12"/>
  <c r="BB26" i="12"/>
  <c r="BB25" i="12"/>
  <c r="BB24" i="12"/>
  <c r="BB23" i="12"/>
  <c r="BB22" i="12"/>
  <c r="BB21" i="12"/>
  <c r="BB20" i="12"/>
  <c r="BB19" i="12"/>
  <c r="BB18" i="12"/>
  <c r="BB17" i="12"/>
  <c r="BB16" i="12"/>
  <c r="BB15" i="12"/>
  <c r="BB14" i="12"/>
  <c r="BB13" i="12"/>
  <c r="L85" i="12"/>
  <c r="P85" i="12"/>
  <c r="Z85" i="12"/>
  <c r="BD85" i="12"/>
  <c r="S85" i="12" s="1"/>
  <c r="AZ85" i="12"/>
  <c r="BC85" i="12"/>
  <c r="BE85" i="12"/>
  <c r="Q85" i="12" s="1"/>
  <c r="AZ12" i="12"/>
  <c r="P12" i="12" s="1"/>
  <c r="BE14" i="12"/>
  <c r="Q14" i="12" s="1"/>
  <c r="BC14" i="12"/>
  <c r="BD15" i="12"/>
  <c r="S15" i="12" s="1"/>
  <c r="AZ15" i="12"/>
  <c r="AZ14" i="12"/>
  <c r="C5" i="12"/>
  <c r="AZ86" i="12"/>
  <c r="AZ84" i="12"/>
  <c r="AZ83" i="12"/>
  <c r="AZ82" i="12"/>
  <c r="AZ81" i="12"/>
  <c r="AZ80" i="12"/>
  <c r="AZ79" i="12"/>
  <c r="AZ78" i="12"/>
  <c r="AZ77" i="12"/>
  <c r="AZ76" i="12"/>
  <c r="AZ75" i="12"/>
  <c r="AZ74" i="12"/>
  <c r="AZ73" i="12"/>
  <c r="AZ72" i="12"/>
  <c r="AZ71" i="12"/>
  <c r="AZ50" i="12"/>
  <c r="AZ49" i="12"/>
  <c r="AZ48" i="12"/>
  <c r="AZ47" i="12"/>
  <c r="AZ46" i="12"/>
  <c r="AZ45" i="12"/>
  <c r="AZ44" i="12"/>
  <c r="AZ43" i="12"/>
  <c r="AZ42" i="12"/>
  <c r="AZ41" i="12"/>
  <c r="AZ40" i="12"/>
  <c r="AZ39" i="12"/>
  <c r="AZ38" i="12"/>
  <c r="AZ37" i="12"/>
  <c r="AZ36" i="12"/>
  <c r="AZ35" i="12"/>
  <c r="AZ34" i="12"/>
  <c r="AZ33" i="12"/>
  <c r="AZ32" i="12"/>
  <c r="AZ31" i="12"/>
  <c r="AZ30" i="12"/>
  <c r="AZ29" i="12"/>
  <c r="AZ28" i="12"/>
  <c r="AZ27" i="12"/>
  <c r="AZ26" i="12"/>
  <c r="AZ25" i="12"/>
  <c r="AZ24" i="12"/>
  <c r="AZ23" i="12"/>
  <c r="AZ22" i="12"/>
  <c r="AZ21" i="12"/>
  <c r="AZ20" i="12"/>
  <c r="AZ19" i="12"/>
  <c r="AZ18" i="12"/>
  <c r="AZ17" i="12"/>
  <c r="AZ16" i="12"/>
  <c r="L86" i="12"/>
  <c r="L84" i="12"/>
  <c r="L83" i="12"/>
  <c r="L82" i="12"/>
  <c r="L81" i="12"/>
  <c r="L80" i="12"/>
  <c r="L79" i="12"/>
  <c r="L78" i="12"/>
  <c r="L77" i="12"/>
  <c r="L76" i="12"/>
  <c r="L75" i="12"/>
  <c r="L74" i="12"/>
  <c r="L73" i="12"/>
  <c r="L72" i="12"/>
  <c r="L71" i="12"/>
  <c r="L50" i="12"/>
  <c r="L49" i="12"/>
  <c r="L48" i="12"/>
  <c r="L47" i="12"/>
  <c r="L46" i="12"/>
  <c r="L45" i="12"/>
  <c r="L44" i="12"/>
  <c r="L43" i="12"/>
  <c r="L42" i="12"/>
  <c r="L41" i="12"/>
  <c r="L40" i="12"/>
  <c r="L39" i="12"/>
  <c r="L38" i="12"/>
  <c r="L37" i="12"/>
  <c r="L36" i="12"/>
  <c r="L35" i="12"/>
  <c r="L34" i="12"/>
  <c r="L33" i="12"/>
  <c r="L32" i="12"/>
  <c r="L31" i="12"/>
  <c r="L30" i="12"/>
  <c r="L29" i="12"/>
  <c r="L28" i="12"/>
  <c r="L27" i="12"/>
  <c r="L26" i="12"/>
  <c r="L25" i="12"/>
  <c r="L24" i="12"/>
  <c r="L23" i="12"/>
  <c r="L22" i="12"/>
  <c r="L21" i="12"/>
  <c r="L20" i="12"/>
  <c r="L19" i="12"/>
  <c r="L18" i="12"/>
  <c r="L17" i="12"/>
  <c r="L16" i="12"/>
  <c r="L15" i="12"/>
  <c r="L14" i="12"/>
  <c r="AZ13" i="12"/>
  <c r="G34" i="1"/>
  <c r="H34" i="1" s="1"/>
  <c r="BD12" i="12"/>
  <c r="S12" i="12" s="1"/>
  <c r="BE80" i="12"/>
  <c r="Q80" i="12" s="1"/>
  <c r="BC80" i="12"/>
  <c r="BD80" i="12"/>
  <c r="S80" i="12" s="1"/>
  <c r="P80" i="12"/>
  <c r="BE79" i="12"/>
  <c r="Q79" i="12" s="1"/>
  <c r="BC79" i="12"/>
  <c r="BD79" i="12"/>
  <c r="S79" i="12" s="1"/>
  <c r="P79" i="12"/>
  <c r="BE78" i="12"/>
  <c r="Q78" i="12" s="1"/>
  <c r="BC78" i="12"/>
  <c r="BD78" i="12"/>
  <c r="S78" i="12" s="1"/>
  <c r="P78" i="12"/>
  <c r="BE77" i="12"/>
  <c r="Q77" i="12" s="1"/>
  <c r="BC77" i="12"/>
  <c r="BD77" i="12"/>
  <c r="S77" i="12" s="1"/>
  <c r="P77" i="12"/>
  <c r="BE76" i="12"/>
  <c r="Q76" i="12" s="1"/>
  <c r="BC76" i="12"/>
  <c r="BD76" i="12"/>
  <c r="S76" i="12" s="1"/>
  <c r="P76" i="12"/>
  <c r="C4" i="1"/>
  <c r="BE86" i="12"/>
  <c r="Q86" i="12" s="1"/>
  <c r="BC86" i="12"/>
  <c r="BD86" i="12"/>
  <c r="S86" i="12" s="1"/>
  <c r="P86" i="12"/>
  <c r="BE84" i="12"/>
  <c r="Q84" i="12" s="1"/>
  <c r="BC84" i="12"/>
  <c r="BD84" i="12"/>
  <c r="S84" i="12" s="1"/>
  <c r="P84" i="12"/>
  <c r="BE83" i="12"/>
  <c r="Q83" i="12" s="1"/>
  <c r="BC83" i="12"/>
  <c r="BD83" i="12"/>
  <c r="S83" i="12" s="1"/>
  <c r="P83" i="12"/>
  <c r="BE82" i="12"/>
  <c r="Q82" i="12" s="1"/>
  <c r="BC82" i="12"/>
  <c r="BD82" i="12"/>
  <c r="S82" i="12" s="1"/>
  <c r="P82" i="12"/>
  <c r="BE81" i="12"/>
  <c r="Q81" i="12" s="1"/>
  <c r="BC81" i="12"/>
  <c r="BD81" i="12"/>
  <c r="S81" i="12" s="1"/>
  <c r="P81" i="12"/>
  <c r="BE75" i="12"/>
  <c r="Q75" i="12" s="1"/>
  <c r="BC75" i="12"/>
  <c r="BD75" i="12"/>
  <c r="S75" i="12" s="1"/>
  <c r="P75" i="12"/>
  <c r="BE74" i="12"/>
  <c r="Q74" i="12" s="1"/>
  <c r="BC74" i="12"/>
  <c r="BD74" i="12"/>
  <c r="S74" i="12" s="1"/>
  <c r="P74" i="12"/>
  <c r="BE73" i="12"/>
  <c r="Q73" i="12" s="1"/>
  <c r="BC73" i="12"/>
  <c r="BD73" i="12"/>
  <c r="S73" i="12" s="1"/>
  <c r="P73" i="12"/>
  <c r="BE72" i="12"/>
  <c r="Q72" i="12" s="1"/>
  <c r="BC72" i="12"/>
  <c r="BD72" i="12"/>
  <c r="S72" i="12" s="1"/>
  <c r="P72" i="12"/>
  <c r="BE71" i="12"/>
  <c r="Q71" i="12" s="1"/>
  <c r="BC71" i="12"/>
  <c r="BD71" i="12"/>
  <c r="S71" i="12" s="1"/>
  <c r="P71" i="12"/>
  <c r="BE50" i="12"/>
  <c r="Q50" i="12" s="1"/>
  <c r="BC50" i="12"/>
  <c r="BD50" i="12"/>
  <c r="S50" i="12" s="1"/>
  <c r="P50" i="12"/>
  <c r="BE49" i="12"/>
  <c r="Q49" i="12" s="1"/>
  <c r="BC49" i="12"/>
  <c r="BD49" i="12"/>
  <c r="S49" i="12" s="1"/>
  <c r="P49" i="12"/>
  <c r="BE48" i="12"/>
  <c r="Q48" i="12" s="1"/>
  <c r="BC48" i="12"/>
  <c r="BD48" i="12"/>
  <c r="S48" i="12" s="1"/>
  <c r="P48" i="12"/>
  <c r="BE47" i="12"/>
  <c r="Q47" i="12" s="1"/>
  <c r="BC47" i="12"/>
  <c r="BD47" i="12"/>
  <c r="S47" i="12" s="1"/>
  <c r="P47" i="12"/>
  <c r="BE46" i="12"/>
  <c r="Q46" i="12" s="1"/>
  <c r="BC46" i="12"/>
  <c r="BD46" i="12"/>
  <c r="S46" i="12" s="1"/>
  <c r="P46" i="12"/>
  <c r="BE45" i="12"/>
  <c r="Q45" i="12" s="1"/>
  <c r="BC45" i="12"/>
  <c r="BD45" i="12"/>
  <c r="S45" i="12" s="1"/>
  <c r="P45" i="12"/>
  <c r="BE44" i="12"/>
  <c r="Q44" i="12" s="1"/>
  <c r="BC44" i="12"/>
  <c r="BD44" i="12"/>
  <c r="S44" i="12" s="1"/>
  <c r="P44" i="12"/>
  <c r="BE43" i="12"/>
  <c r="Q43" i="12" s="1"/>
  <c r="BC43" i="12"/>
  <c r="BD43" i="12"/>
  <c r="S43" i="12" s="1"/>
  <c r="P43" i="12"/>
  <c r="BE42" i="12"/>
  <c r="Q42" i="12" s="1"/>
  <c r="BC42" i="12"/>
  <c r="BD42" i="12"/>
  <c r="S42" i="12" s="1"/>
  <c r="P42" i="12"/>
  <c r="BE41" i="12"/>
  <c r="Q41" i="12" s="1"/>
  <c r="BC41" i="12"/>
  <c r="BD41" i="12"/>
  <c r="S41" i="12" s="1"/>
  <c r="P41" i="12"/>
  <c r="BE40" i="12"/>
  <c r="Q40" i="12" s="1"/>
  <c r="BC40" i="12"/>
  <c r="BD40" i="12"/>
  <c r="S40" i="12" s="1"/>
  <c r="P40" i="12"/>
  <c r="BE39" i="12"/>
  <c r="Q39" i="12" s="1"/>
  <c r="BC39" i="12"/>
  <c r="BD39" i="12"/>
  <c r="S39" i="12" s="1"/>
  <c r="P39" i="12"/>
  <c r="BE38" i="12"/>
  <c r="Q38" i="12" s="1"/>
  <c r="BC38" i="12"/>
  <c r="BD38" i="12"/>
  <c r="S38" i="12" s="1"/>
  <c r="P38" i="12"/>
  <c r="BE37" i="12"/>
  <c r="Q37" i="12" s="1"/>
  <c r="BC37" i="12"/>
  <c r="BD37" i="12"/>
  <c r="S37" i="12" s="1"/>
  <c r="P37" i="12"/>
  <c r="BE36" i="12"/>
  <c r="Q36" i="12" s="1"/>
  <c r="BC36" i="12"/>
  <c r="BD36" i="12"/>
  <c r="S36" i="12" s="1"/>
  <c r="P36" i="12"/>
  <c r="BE35" i="12"/>
  <c r="Q35" i="12" s="1"/>
  <c r="BC35" i="12"/>
  <c r="BD35" i="12"/>
  <c r="S35" i="12" s="1"/>
  <c r="P35" i="12"/>
  <c r="BE34" i="12"/>
  <c r="Q34" i="12" s="1"/>
  <c r="BC34" i="12"/>
  <c r="BD34" i="12"/>
  <c r="S34" i="12" s="1"/>
  <c r="P34" i="12"/>
  <c r="BE33" i="12"/>
  <c r="Q33" i="12" s="1"/>
  <c r="BC33" i="12"/>
  <c r="BD33" i="12"/>
  <c r="S33" i="12" s="1"/>
  <c r="P33" i="12"/>
  <c r="BE32" i="12"/>
  <c r="Q32" i="12" s="1"/>
  <c r="BC32" i="12"/>
  <c r="BD32" i="12"/>
  <c r="S32" i="12" s="1"/>
  <c r="P32" i="12"/>
  <c r="BE31" i="12"/>
  <c r="Q31" i="12" s="1"/>
  <c r="BC31" i="12"/>
  <c r="BD31" i="12"/>
  <c r="S31" i="12" s="1"/>
  <c r="P31" i="12"/>
  <c r="BE30" i="12"/>
  <c r="Q30" i="12" s="1"/>
  <c r="BC30" i="12"/>
  <c r="BD30" i="12"/>
  <c r="S30" i="12" s="1"/>
  <c r="P30" i="12"/>
  <c r="BE29" i="12"/>
  <c r="Q29" i="12" s="1"/>
  <c r="BC29" i="12"/>
  <c r="BD29" i="12"/>
  <c r="S29" i="12" s="1"/>
  <c r="P29" i="12"/>
  <c r="BE28" i="12"/>
  <c r="Q28" i="12" s="1"/>
  <c r="BC28" i="12"/>
  <c r="BD28" i="12"/>
  <c r="S28" i="12" s="1"/>
  <c r="P28" i="12"/>
  <c r="BE27" i="12"/>
  <c r="Q27" i="12" s="1"/>
  <c r="BC27" i="12"/>
  <c r="BD27" i="12"/>
  <c r="S27" i="12" s="1"/>
  <c r="P27" i="12"/>
  <c r="BE26" i="12"/>
  <c r="Q26" i="12" s="1"/>
  <c r="BC26" i="12"/>
  <c r="BD26" i="12"/>
  <c r="S26" i="12" s="1"/>
  <c r="P26" i="12"/>
  <c r="BE25" i="12"/>
  <c r="Q25" i="12" s="1"/>
  <c r="BC25" i="12"/>
  <c r="BD25" i="12"/>
  <c r="S25" i="12" s="1"/>
  <c r="P25" i="12"/>
  <c r="BE24" i="12"/>
  <c r="Q24" i="12" s="1"/>
  <c r="BC24" i="12"/>
  <c r="BD24" i="12"/>
  <c r="S24" i="12" s="1"/>
  <c r="P24" i="12"/>
  <c r="BE23" i="12"/>
  <c r="Q23" i="12" s="1"/>
  <c r="BC23" i="12"/>
  <c r="BD23" i="12"/>
  <c r="S23" i="12" s="1"/>
  <c r="P23" i="12"/>
  <c r="BE22" i="12"/>
  <c r="Q22" i="12" s="1"/>
  <c r="BC22" i="12"/>
  <c r="BD22" i="12"/>
  <c r="S22" i="12" s="1"/>
  <c r="P22" i="12"/>
  <c r="BE21" i="12"/>
  <c r="Q21" i="12" s="1"/>
  <c r="BC21" i="12"/>
  <c r="BD21" i="12"/>
  <c r="S21" i="12" s="1"/>
  <c r="P21" i="12"/>
  <c r="BE20" i="12"/>
  <c r="Q20" i="12" s="1"/>
  <c r="BC20" i="12"/>
  <c r="BD20" i="12"/>
  <c r="S20" i="12" s="1"/>
  <c r="P20" i="12"/>
  <c r="BE19" i="12"/>
  <c r="Q19" i="12" s="1"/>
  <c r="BC19" i="12"/>
  <c r="BD19" i="12"/>
  <c r="S19" i="12" s="1"/>
  <c r="P19" i="12"/>
  <c r="BE18" i="12"/>
  <c r="Q18" i="12" s="1"/>
  <c r="BC18" i="12"/>
  <c r="BD18" i="12"/>
  <c r="S18" i="12" s="1"/>
  <c r="P18" i="12"/>
  <c r="BE17" i="12"/>
  <c r="Q17" i="12" s="1"/>
  <c r="BC17" i="12"/>
  <c r="BD17" i="12"/>
  <c r="S17" i="12" s="1"/>
  <c r="P17" i="12"/>
  <c r="BE16" i="12"/>
  <c r="Q16" i="12" s="1"/>
  <c r="BC16" i="12"/>
  <c r="BD16" i="12"/>
  <c r="S16" i="12" s="1"/>
  <c r="P16" i="12"/>
  <c r="BE15" i="12"/>
  <c r="Q15" i="12" s="1"/>
  <c r="BC15" i="12"/>
  <c r="P15" i="12"/>
  <c r="BD14" i="12"/>
  <c r="S14" i="12" s="1"/>
  <c r="P14" i="12"/>
  <c r="BE13" i="12"/>
  <c r="Q13" i="12" s="1"/>
  <c r="BC13" i="12"/>
  <c r="BC12" i="12"/>
  <c r="P13" i="12"/>
  <c r="BD13" i="12"/>
  <c r="S13" i="12" s="1"/>
  <c r="BE12" i="12"/>
  <c r="Q12" i="12" s="1"/>
  <c r="G32" i="1"/>
  <c r="H32" i="1" s="1"/>
  <c r="H33" i="1"/>
  <c r="F32" i="8"/>
  <c r="F36" i="8" s="1"/>
  <c r="F15" i="7"/>
  <c r="F17" i="7" s="1"/>
  <c r="H15" i="9"/>
  <c r="F4" i="7"/>
  <c r="F4" i="8"/>
  <c r="G4" i="9"/>
  <c r="H31" i="9"/>
  <c r="H34" i="9" s="1"/>
  <c r="O57" i="7"/>
  <c r="H58" i="9"/>
  <c r="H60" i="9" s="1"/>
  <c r="H62" i="9" s="1"/>
  <c r="I25" i="9"/>
  <c r="I27" i="9" s="1"/>
  <c r="P72" i="7"/>
  <c r="N57" i="7"/>
  <c r="P57" i="7"/>
  <c r="O58" i="7"/>
  <c r="N58" i="7"/>
  <c r="P58" i="7"/>
  <c r="O59" i="7"/>
  <c r="N59" i="7"/>
  <c r="P59" i="7"/>
  <c r="O60" i="7"/>
  <c r="N60" i="7"/>
  <c r="P60" i="7"/>
  <c r="O61" i="7"/>
  <c r="N61" i="7"/>
  <c r="P61" i="7"/>
  <c r="O62" i="7"/>
  <c r="N62" i="7"/>
  <c r="P62" i="7"/>
  <c r="O63" i="7"/>
  <c r="N63" i="7"/>
  <c r="P63" i="7"/>
  <c r="O64" i="7"/>
  <c r="N64" i="7"/>
  <c r="P64" i="7"/>
  <c r="O65" i="7"/>
  <c r="N65" i="7"/>
  <c r="P65" i="7"/>
  <c r="O66" i="7"/>
  <c r="N66" i="7"/>
  <c r="P66" i="7"/>
  <c r="O67" i="7"/>
  <c r="N67" i="7"/>
  <c r="P67" i="7"/>
  <c r="O68" i="7"/>
  <c r="N68" i="7"/>
  <c r="P68" i="7"/>
  <c r="O69" i="7"/>
  <c r="N69" i="7"/>
  <c r="P69" i="7"/>
  <c r="O70" i="7"/>
  <c r="N70" i="7"/>
  <c r="P70" i="7"/>
  <c r="O71" i="7"/>
  <c r="N71" i="7"/>
  <c r="P71" i="7"/>
  <c r="O72" i="7"/>
  <c r="N72" i="7"/>
  <c r="O73" i="7"/>
  <c r="N73" i="7"/>
  <c r="P73" i="7"/>
  <c r="O74" i="7"/>
  <c r="N74" i="7"/>
  <c r="P74" i="7"/>
  <c r="O75" i="7"/>
  <c r="N75" i="7"/>
  <c r="P75" i="7"/>
  <c r="O76" i="7"/>
  <c r="N76" i="7"/>
  <c r="P76" i="7"/>
  <c r="F42" i="7"/>
  <c r="F45" i="7" s="1"/>
  <c r="F48" i="7" s="1"/>
  <c r="F45" i="8"/>
  <c r="R26" i="8" s="1"/>
  <c r="L4" i="8"/>
  <c r="M4" i="8"/>
  <c r="P4" i="8"/>
  <c r="O4" i="8"/>
  <c r="L5" i="8"/>
  <c r="M5" i="8"/>
  <c r="P5" i="8"/>
  <c r="O5" i="8"/>
  <c r="L6" i="8"/>
  <c r="M6" i="8"/>
  <c r="P6" i="8"/>
  <c r="O6" i="8"/>
  <c r="L7" i="8"/>
  <c r="M7" i="8"/>
  <c r="P7" i="8"/>
  <c r="O7" i="8"/>
  <c r="L8" i="8"/>
  <c r="M8" i="8"/>
  <c r="P8" i="8"/>
  <c r="O8" i="8"/>
  <c r="L9" i="8"/>
  <c r="M9" i="8"/>
  <c r="P9" i="8"/>
  <c r="O9" i="8"/>
  <c r="L10" i="8"/>
  <c r="M10" i="8"/>
  <c r="P10" i="8"/>
  <c r="O10" i="8"/>
  <c r="L11" i="8"/>
  <c r="M11" i="8"/>
  <c r="P11" i="8"/>
  <c r="O11" i="8"/>
  <c r="L12" i="8"/>
  <c r="M12" i="8"/>
  <c r="P12" i="8"/>
  <c r="O12" i="8"/>
  <c r="L13" i="8"/>
  <c r="M13" i="8"/>
  <c r="P13" i="8"/>
  <c r="O13" i="8"/>
  <c r="L14" i="8"/>
  <c r="M14" i="8"/>
  <c r="P14" i="8"/>
  <c r="O14" i="8"/>
  <c r="L15" i="8"/>
  <c r="M15" i="8"/>
  <c r="P15" i="8"/>
  <c r="O15" i="8"/>
  <c r="L16" i="8"/>
  <c r="M16" i="8"/>
  <c r="P16" i="8"/>
  <c r="O16" i="8"/>
  <c r="L17" i="8"/>
  <c r="M17" i="8"/>
  <c r="P17" i="8"/>
  <c r="O17" i="8"/>
  <c r="L18" i="8"/>
  <c r="M18" i="8"/>
  <c r="P18" i="8"/>
  <c r="O18" i="8"/>
  <c r="L19" i="8"/>
  <c r="M19" i="8"/>
  <c r="P19" i="8"/>
  <c r="O19" i="8"/>
  <c r="L20" i="8"/>
  <c r="M20" i="8"/>
  <c r="P20" i="8"/>
  <c r="O20" i="8"/>
  <c r="L21" i="8"/>
  <c r="M21" i="8"/>
  <c r="P21" i="8"/>
  <c r="O21" i="8"/>
  <c r="L22" i="8"/>
  <c r="M22" i="8"/>
  <c r="P22" i="8"/>
  <c r="O22" i="8"/>
  <c r="L23" i="8"/>
  <c r="M23" i="8"/>
  <c r="P23" i="8"/>
  <c r="O23" i="8"/>
  <c r="L24" i="8"/>
  <c r="M24" i="8"/>
  <c r="P24" i="8"/>
  <c r="O24" i="8"/>
  <c r="L25" i="8"/>
  <c r="M25" i="8"/>
  <c r="P25" i="8"/>
  <c r="O25" i="8"/>
  <c r="L26" i="8"/>
  <c r="M26" i="8"/>
  <c r="P26" i="8"/>
  <c r="O26" i="8"/>
  <c r="L27" i="8"/>
  <c r="M27" i="8"/>
  <c r="P27" i="8"/>
  <c r="O27" i="8"/>
  <c r="L28" i="8"/>
  <c r="M28" i="8"/>
  <c r="P28" i="8"/>
  <c r="O28" i="8"/>
  <c r="L29" i="8"/>
  <c r="M29" i="8"/>
  <c r="P29" i="8"/>
  <c r="L30" i="8"/>
  <c r="M30" i="8"/>
  <c r="P30" i="8"/>
  <c r="M31" i="8"/>
  <c r="P31" i="8"/>
  <c r="M32" i="8"/>
  <c r="P32" i="8"/>
  <c r="M33" i="8"/>
  <c r="P33" i="8"/>
  <c r="M34" i="8"/>
  <c r="P34" i="8"/>
  <c r="M35" i="8"/>
  <c r="P35" i="8"/>
  <c r="M36" i="8"/>
  <c r="P36" i="8"/>
  <c r="M37" i="8"/>
  <c r="P37" i="8"/>
  <c r="M38" i="8"/>
  <c r="P38" i="8"/>
  <c r="O29" i="8"/>
  <c r="O30" i="8"/>
  <c r="L31" i="8"/>
  <c r="O31" i="8"/>
  <c r="L32" i="8"/>
  <c r="O32" i="8"/>
  <c r="L33" i="8"/>
  <c r="O33" i="8"/>
  <c r="L34" i="8"/>
  <c r="O34" i="8"/>
  <c r="L35" i="8"/>
  <c r="O35" i="8"/>
  <c r="L36" i="8"/>
  <c r="O36" i="8"/>
  <c r="L37" i="8"/>
  <c r="O37" i="8"/>
  <c r="L38" i="8"/>
  <c r="O38" i="8"/>
  <c r="L39" i="8"/>
  <c r="M39" i="8"/>
  <c r="O39" i="8"/>
  <c r="P39" i="8"/>
  <c r="L40" i="8"/>
  <c r="M40" i="8"/>
  <c r="O40" i="8"/>
  <c r="P40" i="8"/>
  <c r="L41" i="8"/>
  <c r="M41" i="8"/>
  <c r="O41" i="8"/>
  <c r="P41" i="8"/>
  <c r="L42" i="8"/>
  <c r="M42" i="8"/>
  <c r="O42" i="8"/>
  <c r="P42" i="8"/>
  <c r="L43" i="8"/>
  <c r="M43" i="8"/>
  <c r="O43" i="8"/>
  <c r="P43" i="8"/>
  <c r="L44" i="8"/>
  <c r="M44" i="8"/>
  <c r="O44" i="8"/>
  <c r="P44" i="8"/>
  <c r="L45" i="8"/>
  <c r="M45" i="8"/>
  <c r="O45" i="8"/>
  <c r="P45" i="8"/>
  <c r="L46" i="8"/>
  <c r="M46" i="8"/>
  <c r="O46" i="8"/>
  <c r="P46" i="8"/>
  <c r="L47" i="8"/>
  <c r="M47" i="8"/>
  <c r="O47" i="8"/>
  <c r="P47" i="8"/>
  <c r="L48" i="8"/>
  <c r="M48" i="8"/>
  <c r="O48" i="8"/>
  <c r="P48" i="8"/>
  <c r="L49" i="8"/>
  <c r="M49" i="8"/>
  <c r="O49" i="8"/>
  <c r="P49" i="8"/>
  <c r="H25" i="9"/>
  <c r="H30" i="9" s="1"/>
  <c r="I28" i="9"/>
  <c r="Z82" i="12"/>
  <c r="Z79" i="12"/>
  <c r="Z76" i="12"/>
  <c r="Z80" i="12"/>
  <c r="Z77" i="12"/>
  <c r="Z78" i="12"/>
  <c r="Z73" i="12"/>
  <c r="Z71" i="12"/>
  <c r="Z29" i="12"/>
  <c r="Z35" i="12"/>
  <c r="Z27" i="12"/>
  <c r="Z25" i="12"/>
  <c r="Z84" i="12"/>
  <c r="Z49" i="12"/>
  <c r="Z75" i="12"/>
  <c r="Z43" i="12"/>
  <c r="Z47" i="12"/>
  <c r="Z45" i="12"/>
  <c r="Z28" i="12"/>
  <c r="Z30" i="12"/>
  <c r="Z26" i="12"/>
  <c r="Z33" i="12"/>
  <c r="Z41" i="12"/>
  <c r="Z42" i="12"/>
  <c r="Z48" i="12"/>
  <c r="Z39" i="12"/>
  <c r="Z40" i="12"/>
  <c r="Z74" i="12"/>
  <c r="Z83" i="12"/>
  <c r="Z31" i="12"/>
  <c r="Z32" i="12"/>
  <c r="Z34" i="12"/>
  <c r="Z37" i="12"/>
  <c r="Z38" i="12"/>
  <c r="Z44" i="12"/>
  <c r="Z72" i="12"/>
  <c r="Z81" i="12"/>
  <c r="Z36" i="12"/>
  <c r="Z46" i="12"/>
  <c r="Z50" i="12"/>
  <c r="Z24" i="12"/>
  <c r="Z23" i="12"/>
  <c r="S36" i="8"/>
  <c r="R24" i="8"/>
  <c r="Z86" i="12"/>
  <c r="V20" i="12" l="1"/>
  <c r="Z20" i="12" s="1"/>
  <c r="V21" i="12"/>
  <c r="Z21" i="12" s="1"/>
  <c r="V18" i="12"/>
  <c r="Z18" i="12" s="1"/>
  <c r="V22" i="12"/>
  <c r="Z22" i="12" s="1"/>
  <c r="V19" i="12"/>
  <c r="Z19" i="12" s="1"/>
  <c r="V14" i="12"/>
  <c r="V16" i="12"/>
  <c r="Z16" i="12" s="1"/>
  <c r="V17" i="12"/>
  <c r="Z17" i="12" s="1"/>
  <c r="V15" i="12"/>
  <c r="Z15" i="12" s="1"/>
  <c r="R49" i="8"/>
  <c r="R38" i="8"/>
  <c r="S47" i="8"/>
  <c r="U47" i="8" s="1"/>
  <c r="S41" i="8"/>
  <c r="R29" i="8"/>
  <c r="R25" i="8"/>
  <c r="R32" i="8"/>
  <c r="S24" i="8"/>
  <c r="U24" i="8" s="1"/>
  <c r="R40" i="8"/>
  <c r="S30" i="8"/>
  <c r="S39" i="8"/>
  <c r="S27" i="8"/>
  <c r="R34" i="8"/>
  <c r="R47" i="8"/>
  <c r="R42" i="8"/>
  <c r="S38" i="8"/>
  <c r="S40" i="8"/>
  <c r="U40" i="8" s="1"/>
  <c r="R33" i="8"/>
  <c r="S35" i="8"/>
  <c r="S28" i="8"/>
  <c r="R27" i="8"/>
  <c r="O16" i="12"/>
  <c r="N16" i="12"/>
  <c r="U16" i="12" s="1"/>
  <c r="Y16" i="12" s="1"/>
  <c r="N17" i="12"/>
  <c r="O17" i="12"/>
  <c r="O18" i="12"/>
  <c r="N18" i="12"/>
  <c r="N19" i="12"/>
  <c r="U19" i="12" s="1"/>
  <c r="Y19" i="12" s="1"/>
  <c r="O19" i="12"/>
  <c r="O20" i="12"/>
  <c r="N20" i="12"/>
  <c r="U20" i="12" s="1"/>
  <c r="Y20" i="12" s="1"/>
  <c r="N21" i="12"/>
  <c r="O21" i="12"/>
  <c r="O22" i="12"/>
  <c r="N22" i="12"/>
  <c r="U22" i="12" s="1"/>
  <c r="Y22" i="12" s="1"/>
  <c r="N23" i="12"/>
  <c r="U23" i="12" s="1"/>
  <c r="Y23" i="12" s="1"/>
  <c r="O23" i="12"/>
  <c r="O24" i="12"/>
  <c r="N24" i="12"/>
  <c r="U24" i="12" s="1"/>
  <c r="Y24" i="12" s="1"/>
  <c r="N25" i="12"/>
  <c r="U25" i="12" s="1"/>
  <c r="Y25" i="12" s="1"/>
  <c r="O25" i="12"/>
  <c r="O26" i="12"/>
  <c r="N26" i="12"/>
  <c r="U26" i="12" s="1"/>
  <c r="Y26" i="12" s="1"/>
  <c r="N27" i="12"/>
  <c r="U27" i="12" s="1"/>
  <c r="Y27" i="12" s="1"/>
  <c r="O27" i="12"/>
  <c r="O28" i="12"/>
  <c r="N28" i="12"/>
  <c r="U28" i="12" s="1"/>
  <c r="Y28" i="12" s="1"/>
  <c r="N29" i="12"/>
  <c r="U29" i="12" s="1"/>
  <c r="Y29" i="12" s="1"/>
  <c r="O29" i="12"/>
  <c r="O30" i="12"/>
  <c r="N30" i="12"/>
  <c r="U30" i="12" s="1"/>
  <c r="Y30" i="12" s="1"/>
  <c r="N31" i="12"/>
  <c r="U31" i="12" s="1"/>
  <c r="Y31" i="12" s="1"/>
  <c r="O31" i="12"/>
  <c r="O32" i="12"/>
  <c r="N32" i="12"/>
  <c r="U32" i="12" s="1"/>
  <c r="Y32" i="12" s="1"/>
  <c r="N33" i="12"/>
  <c r="U33" i="12" s="1"/>
  <c r="Y33" i="12" s="1"/>
  <c r="O33" i="12"/>
  <c r="O34" i="12"/>
  <c r="N34" i="12"/>
  <c r="U34" i="12" s="1"/>
  <c r="Y34" i="12" s="1"/>
  <c r="N35" i="12"/>
  <c r="U35" i="12" s="1"/>
  <c r="Y35" i="12" s="1"/>
  <c r="O35" i="12"/>
  <c r="O36" i="12"/>
  <c r="N36" i="12"/>
  <c r="U36" i="12" s="1"/>
  <c r="Y36" i="12" s="1"/>
  <c r="N37" i="12"/>
  <c r="U37" i="12" s="1"/>
  <c r="Y37" i="12" s="1"/>
  <c r="O37" i="12"/>
  <c r="O38" i="12"/>
  <c r="N38" i="12"/>
  <c r="U38" i="12" s="1"/>
  <c r="Y38" i="12" s="1"/>
  <c r="N39" i="12"/>
  <c r="U39" i="12" s="1"/>
  <c r="Y39" i="12" s="1"/>
  <c r="O39" i="12"/>
  <c r="O40" i="12"/>
  <c r="N40" i="12"/>
  <c r="U40" i="12" s="1"/>
  <c r="Y40" i="12" s="1"/>
  <c r="N41" i="12"/>
  <c r="U41" i="12" s="1"/>
  <c r="Y41" i="12" s="1"/>
  <c r="O41" i="12"/>
  <c r="O42" i="12"/>
  <c r="N42" i="12"/>
  <c r="U42" i="12" s="1"/>
  <c r="Y42" i="12" s="1"/>
  <c r="N43" i="12"/>
  <c r="U43" i="12" s="1"/>
  <c r="Y43" i="12" s="1"/>
  <c r="O43" i="12"/>
  <c r="O44" i="12"/>
  <c r="N44" i="12"/>
  <c r="U44" i="12" s="1"/>
  <c r="Y44" i="12" s="1"/>
  <c r="N45" i="12"/>
  <c r="U45" i="12" s="1"/>
  <c r="Y45" i="12" s="1"/>
  <c r="O45" i="12"/>
  <c r="O46" i="12"/>
  <c r="N46" i="12"/>
  <c r="U46" i="12" s="1"/>
  <c r="Y46" i="12" s="1"/>
  <c r="N47" i="12"/>
  <c r="U47" i="12" s="1"/>
  <c r="Y47" i="12" s="1"/>
  <c r="O47" i="12"/>
  <c r="O48" i="12"/>
  <c r="N48" i="12"/>
  <c r="U48" i="12" s="1"/>
  <c r="Y48" i="12" s="1"/>
  <c r="N49" i="12"/>
  <c r="U49" i="12" s="1"/>
  <c r="Y49" i="12" s="1"/>
  <c r="O49" i="12"/>
  <c r="O50" i="12"/>
  <c r="N50" i="12"/>
  <c r="U50" i="12" s="1"/>
  <c r="Y50" i="12" s="1"/>
  <c r="N71" i="12"/>
  <c r="U71" i="12" s="1"/>
  <c r="Y71" i="12" s="1"/>
  <c r="O71" i="12"/>
  <c r="O72" i="12"/>
  <c r="N72" i="12"/>
  <c r="U72" i="12" s="1"/>
  <c r="Y72" i="12" s="1"/>
  <c r="N73" i="12"/>
  <c r="U73" i="12" s="1"/>
  <c r="Y73" i="12" s="1"/>
  <c r="O73" i="12"/>
  <c r="O74" i="12"/>
  <c r="N74" i="12"/>
  <c r="U74" i="12" s="1"/>
  <c r="Y74" i="12" s="1"/>
  <c r="N75" i="12"/>
  <c r="U75" i="12" s="1"/>
  <c r="Y75" i="12" s="1"/>
  <c r="O75" i="12"/>
  <c r="N81" i="12"/>
  <c r="O81" i="12"/>
  <c r="O82" i="12"/>
  <c r="N82" i="12"/>
  <c r="N83" i="12"/>
  <c r="O83" i="12"/>
  <c r="O84" i="12"/>
  <c r="N84" i="12"/>
  <c r="O86" i="12"/>
  <c r="N86" i="12"/>
  <c r="U86" i="12" s="1"/>
  <c r="Y86" i="12" s="1"/>
  <c r="N15" i="12"/>
  <c r="O15" i="12"/>
  <c r="O76" i="12"/>
  <c r="N76" i="12"/>
  <c r="U76" i="12" s="1"/>
  <c r="Y76" i="12" s="1"/>
  <c r="N77" i="12"/>
  <c r="U77" i="12" s="1"/>
  <c r="Y77" i="12" s="1"/>
  <c r="O77" i="12"/>
  <c r="O78" i="12"/>
  <c r="N78" i="12"/>
  <c r="U78" i="12" s="1"/>
  <c r="Y78" i="12" s="1"/>
  <c r="N79" i="12"/>
  <c r="U79" i="12" s="1"/>
  <c r="Y79" i="12" s="1"/>
  <c r="O79" i="12"/>
  <c r="O80" i="12"/>
  <c r="N80" i="12"/>
  <c r="U80" i="12" s="1"/>
  <c r="Y80" i="12" s="1"/>
  <c r="N85" i="12"/>
  <c r="U85" i="12" s="1"/>
  <c r="Y85" i="12" s="1"/>
  <c r="O85" i="12"/>
  <c r="O14" i="12"/>
  <c r="N14" i="12"/>
  <c r="U14" i="12" s="1"/>
  <c r="Y14" i="12" s="1"/>
  <c r="R39" i="8"/>
  <c r="S31" i="8"/>
  <c r="H33" i="9"/>
  <c r="H35" i="9" s="1"/>
  <c r="R44" i="8"/>
  <c r="S48" i="8"/>
  <c r="S45" i="8"/>
  <c r="R30" i="8"/>
  <c r="U30" i="8" s="1"/>
  <c r="S25" i="8"/>
  <c r="U25" i="8" s="1"/>
  <c r="S44" i="8"/>
  <c r="R37" i="8"/>
  <c r="R46" i="8"/>
  <c r="S42" i="8"/>
  <c r="S43" i="8"/>
  <c r="R48" i="8"/>
  <c r="S26" i="8"/>
  <c r="U26" i="8" s="1"/>
  <c r="S46" i="8"/>
  <c r="S37" i="8"/>
  <c r="R45" i="8"/>
  <c r="R36" i="8"/>
  <c r="U36" i="8" s="1"/>
  <c r="S29" i="8"/>
  <c r="U29" i="8" s="1"/>
  <c r="S32" i="8"/>
  <c r="R41" i="8"/>
  <c r="R31" i="8"/>
  <c r="S33" i="8"/>
  <c r="U33" i="8" s="1"/>
  <c r="R43" i="8"/>
  <c r="U43" i="8" s="1"/>
  <c r="R35" i="8"/>
  <c r="R28" i="8"/>
  <c r="S49" i="8"/>
  <c r="U49" i="8" s="1"/>
  <c r="S34" i="8"/>
  <c r="U34" i="8" s="1"/>
  <c r="Z14" i="12"/>
  <c r="H35" i="1"/>
  <c r="G35" i="1" s="1"/>
  <c r="H14" i="7"/>
  <c r="S72" i="7" s="1"/>
  <c r="AV85" i="12"/>
  <c r="G14" i="1"/>
  <c r="K33" i="9"/>
  <c r="H17" i="9"/>
  <c r="K31" i="9"/>
  <c r="F18" i="8"/>
  <c r="H14" i="1"/>
  <c r="AV84" i="12"/>
  <c r="AW30" i="12"/>
  <c r="AW28" i="12"/>
  <c r="AV48" i="12"/>
  <c r="AX13" i="12"/>
  <c r="AV43" i="12"/>
  <c r="AV32" i="12"/>
  <c r="AW39" i="12"/>
  <c r="AW22" i="12"/>
  <c r="AV35" i="12"/>
  <c r="AV71" i="12"/>
  <c r="AW46" i="12"/>
  <c r="AV40" i="12"/>
  <c r="AV81" i="12"/>
  <c r="AW75" i="12"/>
  <c r="AV26" i="12"/>
  <c r="AX76" i="12"/>
  <c r="AV12" i="12"/>
  <c r="AV21" i="12"/>
  <c r="AX23" i="12"/>
  <c r="AX26" i="12"/>
  <c r="AV31" i="12"/>
  <c r="AW29" i="12"/>
  <c r="AV39" i="12"/>
  <c r="AV47" i="12"/>
  <c r="AV75" i="12"/>
  <c r="AW38" i="12"/>
  <c r="AW74" i="12"/>
  <c r="AV36" i="12"/>
  <c r="AV44" i="12"/>
  <c r="AV72" i="12"/>
  <c r="AX86" i="12"/>
  <c r="AW47" i="12"/>
  <c r="AW12" i="12"/>
  <c r="AV30" i="12"/>
  <c r="AW77" i="12"/>
  <c r="AX77" i="12"/>
  <c r="AW31" i="12"/>
  <c r="AW13" i="12"/>
  <c r="AW14" i="12"/>
  <c r="AW15" i="12"/>
  <c r="AW16" i="12"/>
  <c r="AW17" i="12"/>
  <c r="AW18" i="12"/>
  <c r="AW19" i="12"/>
  <c r="AW20" i="12"/>
  <c r="AX21" i="12"/>
  <c r="AV23" i="12"/>
  <c r="AW24" i="12"/>
  <c r="AV33" i="12"/>
  <c r="AV29" i="12"/>
  <c r="AX28" i="12"/>
  <c r="AW25" i="12"/>
  <c r="AV37" i="12"/>
  <c r="AV41" i="12"/>
  <c r="AV45" i="12"/>
  <c r="AV49" i="12"/>
  <c r="AV73" i="12"/>
  <c r="AV82" i="12"/>
  <c r="AW34" i="12"/>
  <c r="AW42" i="12"/>
  <c r="AW50" i="12"/>
  <c r="AW83" i="12"/>
  <c r="AV34" i="12"/>
  <c r="AV38" i="12"/>
  <c r="AV42" i="12"/>
  <c r="AV46" i="12"/>
  <c r="AV50" i="12"/>
  <c r="AV74" i="12"/>
  <c r="AV83" i="12"/>
  <c r="AW35" i="12"/>
  <c r="AW43" i="12"/>
  <c r="AW71" i="12"/>
  <c r="AW84" i="12"/>
  <c r="AV28" i="12"/>
  <c r="AW80" i="12"/>
  <c r="AX80" i="12"/>
  <c r="AW79" i="12"/>
  <c r="AX79" i="12"/>
  <c r="AX78" i="12"/>
  <c r="AX85" i="12"/>
  <c r="AV13" i="12"/>
  <c r="AX12" i="12"/>
  <c r="AV14" i="12"/>
  <c r="AX14" i="12"/>
  <c r="AV15" i="12"/>
  <c r="AX15" i="12"/>
  <c r="AV16" i="12"/>
  <c r="AX16" i="12"/>
  <c r="AV17" i="12"/>
  <c r="AX17" i="12"/>
  <c r="AV18" i="12"/>
  <c r="AX18" i="12"/>
  <c r="AV19" i="12"/>
  <c r="AX19" i="12"/>
  <c r="AV20" i="12"/>
  <c r="AX20" i="12"/>
  <c r="AW21" i="12"/>
  <c r="AV22" i="12"/>
  <c r="AX22" i="12"/>
  <c r="AW23" i="12"/>
  <c r="AV24" i="12"/>
  <c r="AX24" i="12"/>
  <c r="AW26" i="12"/>
  <c r="AW32" i="12"/>
  <c r="AX30" i="12"/>
  <c r="AV27" i="12"/>
  <c r="AV25" i="12"/>
  <c r="AX32" i="12"/>
  <c r="AW27" i="12"/>
  <c r="AX34" i="12"/>
  <c r="AX36" i="12"/>
  <c r="AX38" i="12"/>
  <c r="AX40" i="12"/>
  <c r="AX42" i="12"/>
  <c r="AX44" i="12"/>
  <c r="AX46" i="12"/>
  <c r="AX48" i="12"/>
  <c r="AX50" i="12"/>
  <c r="AX72" i="12"/>
  <c r="AX74" i="12"/>
  <c r="AX81" i="12"/>
  <c r="AX83" i="12"/>
  <c r="AV86" i="12"/>
  <c r="AW36" i="12"/>
  <c r="AW40" i="12"/>
  <c r="AW44" i="12"/>
  <c r="AW48" i="12"/>
  <c r="AW72" i="12"/>
  <c r="AW81" i="12"/>
  <c r="AX31" i="12"/>
  <c r="AX33" i="12"/>
  <c r="AX35" i="12"/>
  <c r="AX37" i="12"/>
  <c r="AX39" i="12"/>
  <c r="AX41" i="12"/>
  <c r="AX43" i="12"/>
  <c r="AX45" i="12"/>
  <c r="AX47" i="12"/>
  <c r="AX49" i="12"/>
  <c r="AX71" i="12"/>
  <c r="AX73" i="12"/>
  <c r="AX75" i="12"/>
  <c r="AX82" i="12"/>
  <c r="AX84" i="12"/>
  <c r="AW33" i="12"/>
  <c r="AW37" i="12"/>
  <c r="AW41" i="12"/>
  <c r="AW45" i="12"/>
  <c r="AW49" i="12"/>
  <c r="AW73" i="12"/>
  <c r="AW82" i="12"/>
  <c r="AW86" i="12"/>
  <c r="AX29" i="12"/>
  <c r="AX27" i="12"/>
  <c r="AX25" i="12"/>
  <c r="AV79" i="12"/>
  <c r="AV76" i="12"/>
  <c r="AV78" i="12"/>
  <c r="AW76" i="12"/>
  <c r="AW78" i="12"/>
  <c r="AV80" i="12"/>
  <c r="AV77" i="12"/>
  <c r="AW85" i="12"/>
  <c r="H27" i="9"/>
  <c r="U35" i="8" l="1"/>
  <c r="U32" i="8"/>
  <c r="U39" i="8"/>
  <c r="U42" i="8"/>
  <c r="U38" i="8"/>
  <c r="U21" i="12"/>
  <c r="Y21" i="12" s="1"/>
  <c r="U15" i="12"/>
  <c r="Y15" i="12" s="1"/>
  <c r="U18" i="12"/>
  <c r="Y18" i="12" s="1"/>
  <c r="U17" i="12"/>
  <c r="Y17" i="12" s="1"/>
  <c r="U83" i="12"/>
  <c r="Y83" i="12" s="1"/>
  <c r="U81" i="12"/>
  <c r="Y81" i="12" s="1"/>
  <c r="U84" i="12"/>
  <c r="Y84" i="12" s="1"/>
  <c r="U82" i="12"/>
  <c r="Y82" i="12" s="1"/>
  <c r="U28" i="8"/>
  <c r="U41" i="8"/>
  <c r="U27" i="8"/>
  <c r="U44" i="8"/>
  <c r="G24" i="1"/>
  <c r="U48" i="8"/>
  <c r="U45" i="8"/>
  <c r="U37" i="8"/>
  <c r="U31" i="8"/>
  <c r="U46" i="8"/>
  <c r="AC73" i="12"/>
  <c r="AB73" i="12"/>
  <c r="H31" i="8"/>
  <c r="R17" i="8" s="1"/>
  <c r="L12" i="12"/>
  <c r="L13" i="12"/>
  <c r="V13" i="12" s="1"/>
  <c r="H17" i="8"/>
  <c r="S23" i="8" s="1"/>
  <c r="R61" i="7"/>
  <c r="S73" i="7"/>
  <c r="F25" i="7"/>
  <c r="F27" i="7" s="1"/>
  <c r="R59" i="7"/>
  <c r="R64" i="7"/>
  <c r="R65" i="7"/>
  <c r="R60" i="7"/>
  <c r="S57" i="7"/>
  <c r="R70" i="7"/>
  <c r="R63" i="7"/>
  <c r="R68" i="7"/>
  <c r="R67" i="7"/>
  <c r="S63" i="7"/>
  <c r="S61" i="7"/>
  <c r="R66" i="7"/>
  <c r="R69" i="7"/>
  <c r="R75" i="7"/>
  <c r="S75" i="7"/>
  <c r="S64" i="7"/>
  <c r="S65" i="7"/>
  <c r="R76" i="7"/>
  <c r="S58" i="7"/>
  <c r="S67" i="7"/>
  <c r="S62" i="7"/>
  <c r="R62" i="7"/>
  <c r="S68" i="7"/>
  <c r="F28" i="7"/>
  <c r="R58" i="7"/>
  <c r="S74" i="7"/>
  <c r="S66" i="7"/>
  <c r="S70" i="7"/>
  <c r="S59" i="7"/>
  <c r="R74" i="7"/>
  <c r="S69" i="7"/>
  <c r="R72" i="7"/>
  <c r="U72" i="7" s="1"/>
  <c r="R57" i="7"/>
  <c r="S71" i="7"/>
  <c r="S76" i="7"/>
  <c r="R71" i="7"/>
  <c r="S60" i="7"/>
  <c r="R73" i="7"/>
  <c r="J33" i="9"/>
  <c r="J31" i="9"/>
  <c r="J34" i="9"/>
  <c r="V12" i="12" l="1"/>
  <c r="Z12" i="12" s="1"/>
  <c r="W32" i="12"/>
  <c r="G30" i="1"/>
  <c r="H30" i="1" s="1"/>
  <c r="H24" i="1"/>
  <c r="G29" i="1"/>
  <c r="L11" i="12"/>
  <c r="W71" i="12"/>
  <c r="W86" i="12"/>
  <c r="W77" i="12"/>
  <c r="W84" i="12"/>
  <c r="W81" i="12"/>
  <c r="W31" i="12"/>
  <c r="W46" i="12"/>
  <c r="N13" i="12"/>
  <c r="O13" i="12"/>
  <c r="O12" i="12"/>
  <c r="N12" i="12"/>
  <c r="G36" i="1"/>
  <c r="H36" i="1" s="1"/>
  <c r="R16" i="8"/>
  <c r="R14" i="8"/>
  <c r="AB83" i="12"/>
  <c r="AC83" i="12"/>
  <c r="AC15" i="12"/>
  <c r="AB15" i="12"/>
  <c r="AC25" i="12"/>
  <c r="AB25" i="12"/>
  <c r="AB16" i="12"/>
  <c r="AC16" i="12"/>
  <c r="AB40" i="12"/>
  <c r="AC40" i="12"/>
  <c r="AB47" i="12"/>
  <c r="AC47" i="12"/>
  <c r="AB36" i="12"/>
  <c r="AC36" i="12"/>
  <c r="AC75" i="12"/>
  <c r="AB75" i="12"/>
  <c r="AB20" i="12"/>
  <c r="AC20" i="12"/>
  <c r="AB23" i="12"/>
  <c r="AC23" i="12"/>
  <c r="AB32" i="12"/>
  <c r="AC32" i="12"/>
  <c r="AB44" i="12"/>
  <c r="AC44" i="12"/>
  <c r="AC37" i="12"/>
  <c r="AB37" i="12"/>
  <c r="AB85" i="12"/>
  <c r="AC85" i="12"/>
  <c r="AC50" i="12"/>
  <c r="AB50" i="12"/>
  <c r="AB46" i="12"/>
  <c r="AC46" i="12"/>
  <c r="AB48" i="12"/>
  <c r="AC48" i="12"/>
  <c r="AC81" i="12"/>
  <c r="AB81" i="12"/>
  <c r="AB71" i="12"/>
  <c r="AC71" i="12"/>
  <c r="AC21" i="12"/>
  <c r="AB21" i="12"/>
  <c r="AC43" i="12"/>
  <c r="AB43" i="12"/>
  <c r="AC41" i="12"/>
  <c r="AB41" i="12"/>
  <c r="AC45" i="12"/>
  <c r="AB45" i="12"/>
  <c r="AB35" i="12"/>
  <c r="AC35" i="12"/>
  <c r="AC22" i="12"/>
  <c r="AB22" i="12"/>
  <c r="AB79" i="12"/>
  <c r="AC79" i="12"/>
  <c r="AC86" i="12"/>
  <c r="AB86" i="12"/>
  <c r="AB78" i="12"/>
  <c r="AC78" i="12"/>
  <c r="AC17" i="12"/>
  <c r="AB17" i="12"/>
  <c r="AC82" i="12"/>
  <c r="AB82" i="12"/>
  <c r="AB27" i="12"/>
  <c r="AC27" i="12"/>
  <c r="AC18" i="12"/>
  <c r="AB18" i="12"/>
  <c r="AB24" i="12"/>
  <c r="AC24" i="12"/>
  <c r="AC77" i="12"/>
  <c r="AB77" i="12"/>
  <c r="AC33" i="12"/>
  <c r="AB33" i="12"/>
  <c r="AC49" i="12"/>
  <c r="AB49" i="12"/>
  <c r="AB39" i="12"/>
  <c r="AC39" i="12"/>
  <c r="AB80" i="12"/>
  <c r="AC80" i="12"/>
  <c r="AB28" i="12"/>
  <c r="AC28" i="12"/>
  <c r="AC38" i="12"/>
  <c r="AB38" i="12"/>
  <c r="AC26" i="12"/>
  <c r="AB26" i="12"/>
  <c r="R7" i="8"/>
  <c r="R13" i="8"/>
  <c r="R8" i="8"/>
  <c r="R19" i="8"/>
  <c r="R6" i="8"/>
  <c r="R10" i="8"/>
  <c r="R18" i="8"/>
  <c r="R12" i="8"/>
  <c r="R21" i="8"/>
  <c r="R5" i="8"/>
  <c r="R22" i="8"/>
  <c r="R9" i="8"/>
  <c r="R23" i="8"/>
  <c r="U23" i="8" s="1"/>
  <c r="R15" i="8"/>
  <c r="R4" i="8"/>
  <c r="R11" i="8"/>
  <c r="R20" i="8"/>
  <c r="Z13" i="12"/>
  <c r="U74" i="7"/>
  <c r="S10" i="8"/>
  <c r="S12" i="8"/>
  <c r="S14" i="8"/>
  <c r="S7" i="8"/>
  <c r="S15" i="8"/>
  <c r="S22" i="8"/>
  <c r="S13" i="8"/>
  <c r="S21" i="8"/>
  <c r="S11" i="8"/>
  <c r="S16" i="8"/>
  <c r="U16" i="8" s="1"/>
  <c r="S9" i="8"/>
  <c r="S4" i="8"/>
  <c r="F19" i="8"/>
  <c r="F21" i="8" s="1"/>
  <c r="F42" i="8" s="1"/>
  <c r="F44" i="8" s="1"/>
  <c r="U71" i="7"/>
  <c r="S6" i="8"/>
  <c r="S5" i="8"/>
  <c r="S18" i="8"/>
  <c r="S19" i="8"/>
  <c r="S20" i="8"/>
  <c r="U64" i="7"/>
  <c r="S8" i="8"/>
  <c r="S17" i="8"/>
  <c r="U17" i="8" s="1"/>
  <c r="U70" i="7"/>
  <c r="U61" i="7"/>
  <c r="U73" i="7"/>
  <c r="U60" i="7"/>
  <c r="U59" i="7"/>
  <c r="U68" i="7"/>
  <c r="U67" i="7"/>
  <c r="U65" i="7"/>
  <c r="U57" i="7"/>
  <c r="U69" i="7"/>
  <c r="U66" i="7"/>
  <c r="U58" i="7"/>
  <c r="U63" i="7"/>
  <c r="U62" i="7"/>
  <c r="U75" i="7"/>
  <c r="U76" i="7"/>
  <c r="J36" i="9"/>
  <c r="J38" i="9" s="1"/>
  <c r="J39" i="9" s="1"/>
  <c r="J35" i="9"/>
  <c r="G38" i="1" l="1"/>
  <c r="U12" i="12"/>
  <c r="Y12" i="12" s="1"/>
  <c r="U13" i="12"/>
  <c r="Y13" i="12" s="1"/>
  <c r="W23" i="12"/>
  <c r="W25" i="12"/>
  <c r="W38" i="12"/>
  <c r="W74" i="12"/>
  <c r="W73" i="12"/>
  <c r="W19" i="12"/>
  <c r="W47" i="12"/>
  <c r="W26" i="12"/>
  <c r="W37" i="12"/>
  <c r="W34" i="12"/>
  <c r="W29" i="12"/>
  <c r="W30" i="12"/>
  <c r="W42" i="12"/>
  <c r="W50" i="12"/>
  <c r="W44" i="12"/>
  <c r="W28" i="12"/>
  <c r="W72" i="12"/>
  <c r="W45" i="12"/>
  <c r="W76" i="12"/>
  <c r="G40" i="1"/>
  <c r="H29" i="1"/>
  <c r="BF46" i="12"/>
  <c r="BI46" i="12" s="1"/>
  <c r="W36" i="12"/>
  <c r="W16" i="12"/>
  <c r="W43" i="12"/>
  <c r="W35" i="12"/>
  <c r="W17" i="12"/>
  <c r="W14" i="12"/>
  <c r="W82" i="12"/>
  <c r="W78" i="12"/>
  <c r="W80" i="12"/>
  <c r="W33" i="12"/>
  <c r="W24" i="12"/>
  <c r="W41" i="12"/>
  <c r="W20" i="12"/>
  <c r="W40" i="12"/>
  <c r="W83" i="12"/>
  <c r="W27" i="12"/>
  <c r="W22" i="12"/>
  <c r="W75" i="12"/>
  <c r="W85" i="12"/>
  <c r="W15" i="12"/>
  <c r="W21" i="12"/>
  <c r="W39" i="12"/>
  <c r="W79" i="12"/>
  <c r="W48" i="12"/>
  <c r="U15" i="8"/>
  <c r="U10" i="8"/>
  <c r="U22" i="8"/>
  <c r="U8" i="8"/>
  <c r="U18" i="8"/>
  <c r="U21" i="8"/>
  <c r="U9" i="8"/>
  <c r="U14" i="8"/>
  <c r="U7" i="8"/>
  <c r="U6" i="8"/>
  <c r="U5" i="8"/>
  <c r="U13" i="8"/>
  <c r="BF31" i="12"/>
  <c r="BI31" i="12" s="1"/>
  <c r="AC31" i="12"/>
  <c r="AB31" i="12"/>
  <c r="AB74" i="12"/>
  <c r="AC74" i="12"/>
  <c r="AB19" i="12"/>
  <c r="AC19" i="12"/>
  <c r="AJ46" i="12"/>
  <c r="AG46" i="12"/>
  <c r="AB84" i="12"/>
  <c r="AC84" i="12"/>
  <c r="AJ24" i="12"/>
  <c r="AG24" i="12"/>
  <c r="AC29" i="12"/>
  <c r="AB29" i="12"/>
  <c r="AC30" i="12"/>
  <c r="AB30" i="12"/>
  <c r="AB42" i="12"/>
  <c r="AC42" i="12"/>
  <c r="AC34" i="12"/>
  <c r="AB34" i="12"/>
  <c r="AB76" i="12"/>
  <c r="AC76" i="12"/>
  <c r="AB72" i="12"/>
  <c r="AC72" i="12"/>
  <c r="U19" i="8"/>
  <c r="U20" i="8"/>
  <c r="U12" i="8"/>
  <c r="U11" i="8"/>
  <c r="U4" i="8"/>
  <c r="BG26" i="12"/>
  <c r="BH44" i="12"/>
  <c r="BF38" i="12"/>
  <c r="BI38" i="12" s="1"/>
  <c r="BJ38" i="12" s="1"/>
  <c r="BH71" i="12"/>
  <c r="AD50" i="12"/>
  <c r="BH46" i="12"/>
  <c r="BF45" i="12"/>
  <c r="BI45" i="12" s="1"/>
  <c r="BJ45" i="12" s="1"/>
  <c r="BG46" i="12"/>
  <c r="AD46" i="12"/>
  <c r="BH86" i="12"/>
  <c r="BH23" i="12"/>
  <c r="AD42" i="12"/>
  <c r="BG73" i="12"/>
  <c r="BH31" i="12"/>
  <c r="BG47" i="12"/>
  <c r="AD41" i="12"/>
  <c r="AD31" i="12"/>
  <c r="BF28" i="12"/>
  <c r="BI28" i="12" s="1"/>
  <c r="BJ28" i="12" s="1"/>
  <c r="BH29" i="12"/>
  <c r="AD34" i="12"/>
  <c r="BG31" i="12"/>
  <c r="BH19" i="12"/>
  <c r="U78" i="7"/>
  <c r="F31" i="7" s="1"/>
  <c r="BH25" i="12"/>
  <c r="BG74" i="12"/>
  <c r="BG76" i="12"/>
  <c r="BH26" i="12"/>
  <c r="AD26" i="12"/>
  <c r="BF26" i="12"/>
  <c r="BI26" i="12" s="1"/>
  <c r="BJ26" i="12" s="1"/>
  <c r="P26" i="1" l="1"/>
  <c r="Q12" i="1"/>
  <c r="W12" i="12"/>
  <c r="AB12" i="12"/>
  <c r="AD12" i="12"/>
  <c r="AC12" i="12"/>
  <c r="BJ31" i="12"/>
  <c r="BK31" i="12" s="1"/>
  <c r="BL31" i="12" s="1"/>
  <c r="BJ46" i="12"/>
  <c r="BK46" i="12" s="1"/>
  <c r="BL46" i="12" s="1"/>
  <c r="BH18" i="12"/>
  <c r="W18" i="12"/>
  <c r="W49" i="12"/>
  <c r="BG33" i="12"/>
  <c r="W13" i="12"/>
  <c r="AD18" i="12"/>
  <c r="BG18" i="12"/>
  <c r="AD27" i="12"/>
  <c r="G41" i="1"/>
  <c r="H38" i="1"/>
  <c r="H40" i="1" s="1"/>
  <c r="BG15" i="12"/>
  <c r="AD17" i="12"/>
  <c r="BG27" i="12"/>
  <c r="BF18" i="12"/>
  <c r="BI18" i="12" s="1"/>
  <c r="BG40" i="12"/>
  <c r="BF27" i="12"/>
  <c r="BI27" i="12" s="1"/>
  <c r="BF82" i="12"/>
  <c r="BI82" i="12" s="1"/>
  <c r="BF39" i="12"/>
  <c r="BI39" i="12" s="1"/>
  <c r="BF33" i="12"/>
  <c r="BI33" i="12" s="1"/>
  <c r="BF14" i="12"/>
  <c r="AD33" i="12"/>
  <c r="BH22" i="12"/>
  <c r="BH80" i="12"/>
  <c r="BH75" i="12"/>
  <c r="BH33" i="12"/>
  <c r="BG79" i="12"/>
  <c r="BF83" i="12"/>
  <c r="BI83" i="12" s="1"/>
  <c r="BF24" i="12"/>
  <c r="BI24" i="12" s="1"/>
  <c r="BH78" i="12"/>
  <c r="BG35" i="12"/>
  <c r="BG36" i="12"/>
  <c r="BH24" i="12"/>
  <c r="AD24" i="12"/>
  <c r="BG24" i="12"/>
  <c r="BK38" i="12"/>
  <c r="AG38" i="12"/>
  <c r="AJ38" i="12"/>
  <c r="AG83" i="12"/>
  <c r="AJ83" i="12"/>
  <c r="AF24" i="12"/>
  <c r="AF46" i="12"/>
  <c r="AM46" i="12" s="1"/>
  <c r="AG33" i="12"/>
  <c r="AJ33" i="12"/>
  <c r="BK26" i="12"/>
  <c r="AG26" i="12"/>
  <c r="AJ26" i="12"/>
  <c r="AG39" i="12"/>
  <c r="AJ39" i="12"/>
  <c r="AG27" i="12"/>
  <c r="AJ27" i="12"/>
  <c r="AF31" i="12"/>
  <c r="BK28" i="12"/>
  <c r="AJ28" i="12"/>
  <c r="AG28" i="12"/>
  <c r="BK45" i="12"/>
  <c r="AG45" i="12"/>
  <c r="AJ45" i="12"/>
  <c r="AG82" i="12"/>
  <c r="AJ82" i="12"/>
  <c r="AG31" i="12"/>
  <c r="AJ31" i="12"/>
  <c r="U51" i="8"/>
  <c r="U52" i="8" s="1"/>
  <c r="F46" i="8" s="1"/>
  <c r="BH27" i="12"/>
  <c r="BG21" i="12"/>
  <c r="BF71" i="12"/>
  <c r="BI71" i="12" s="1"/>
  <c r="BJ71" i="12" s="1"/>
  <c r="BF78" i="12"/>
  <c r="BI78" i="12" s="1"/>
  <c r="BJ78" i="12" s="1"/>
  <c r="AD71" i="12"/>
  <c r="BH16" i="12"/>
  <c r="BH82" i="12"/>
  <c r="BH77" i="12"/>
  <c r="BG71" i="12"/>
  <c r="AD82" i="12"/>
  <c r="BG82" i="12"/>
  <c r="AD85" i="12"/>
  <c r="BF79" i="12"/>
  <c r="BI79" i="12" s="1"/>
  <c r="BJ79" i="12" s="1"/>
  <c r="AD45" i="12"/>
  <c r="BG50" i="12"/>
  <c r="BH83" i="12"/>
  <c r="BG48" i="12"/>
  <c r="BG14" i="12"/>
  <c r="AD14" i="12"/>
  <c r="BH14" i="12"/>
  <c r="AC14" i="12"/>
  <c r="AB14" i="12"/>
  <c r="BF86" i="12"/>
  <c r="BI86" i="12" s="1"/>
  <c r="BJ86" i="12" s="1"/>
  <c r="BG80" i="12"/>
  <c r="AD80" i="12"/>
  <c r="BH79" i="12"/>
  <c r="BG39" i="12"/>
  <c r="AD79" i="12"/>
  <c r="BF80" i="12"/>
  <c r="BI80" i="12" s="1"/>
  <c r="BJ80" i="12" s="1"/>
  <c r="AD44" i="12"/>
  <c r="BF44" i="12"/>
  <c r="BI44" i="12" s="1"/>
  <c r="BJ44" i="12" s="1"/>
  <c r="BG44" i="12"/>
  <c r="BH39" i="12"/>
  <c r="BF17" i="12"/>
  <c r="AD78" i="12"/>
  <c r="BG83" i="12"/>
  <c r="BH45" i="12"/>
  <c r="BH38" i="12"/>
  <c r="BH50" i="12"/>
  <c r="BH35" i="12"/>
  <c r="BG78" i="12"/>
  <c r="AD83" i="12"/>
  <c r="BH17" i="12"/>
  <c r="BF50" i="12"/>
  <c r="BI50" i="12" s="1"/>
  <c r="BJ50" i="12" s="1"/>
  <c r="BF35" i="12"/>
  <c r="BI35" i="12" s="1"/>
  <c r="BJ35" i="12" s="1"/>
  <c r="AD35" i="12"/>
  <c r="BG45" i="12"/>
  <c r="AD38" i="12"/>
  <c r="BG38" i="12"/>
  <c r="BG16" i="12"/>
  <c r="AD36" i="12"/>
  <c r="AD86" i="12"/>
  <c r="AD39" i="12"/>
  <c r="BF36" i="12"/>
  <c r="BI36" i="12" s="1"/>
  <c r="BJ36" i="12" s="1"/>
  <c r="BH36" i="12"/>
  <c r="BG17" i="12"/>
  <c r="BF22" i="12"/>
  <c r="AD22" i="12"/>
  <c r="BG22" i="12"/>
  <c r="AC13" i="12"/>
  <c r="BF15" i="12"/>
  <c r="BG86" i="12"/>
  <c r="AD23" i="12"/>
  <c r="BG23" i="12"/>
  <c r="BG20" i="12"/>
  <c r="BF20" i="12"/>
  <c r="AD20" i="12"/>
  <c r="BH20" i="12"/>
  <c r="BG29" i="12"/>
  <c r="BH15" i="12"/>
  <c r="BF42" i="12"/>
  <c r="BI42" i="12" s="1"/>
  <c r="BJ42" i="12" s="1"/>
  <c r="AD47" i="12"/>
  <c r="BF23" i="12"/>
  <c r="BI23" i="12" s="1"/>
  <c r="BJ23" i="12" s="1"/>
  <c r="BH47" i="12"/>
  <c r="BG42" i="12"/>
  <c r="AD15" i="12"/>
  <c r="AD73" i="12"/>
  <c r="BF73" i="12"/>
  <c r="BI73" i="12" s="1"/>
  <c r="BJ73" i="12" s="1"/>
  <c r="BF47" i="12"/>
  <c r="BI47" i="12" s="1"/>
  <c r="BJ47" i="12" s="1"/>
  <c r="BH73" i="12"/>
  <c r="BG41" i="12"/>
  <c r="BH40" i="12"/>
  <c r="BH42" i="12"/>
  <c r="BH34" i="12"/>
  <c r="BF41" i="12"/>
  <c r="BI41" i="12" s="1"/>
  <c r="BJ41" i="12" s="1"/>
  <c r="BH41" i="12"/>
  <c r="AD28" i="12"/>
  <c r="U79" i="7"/>
  <c r="F29" i="7" s="1"/>
  <c r="BG75" i="12"/>
  <c r="AD75" i="12"/>
  <c r="BF29" i="12"/>
  <c r="BI29" i="12" s="1"/>
  <c r="BJ29" i="12" s="1"/>
  <c r="BF75" i="12"/>
  <c r="BI75" i="12" s="1"/>
  <c r="BJ75" i="12" s="1"/>
  <c r="BG19" i="12"/>
  <c r="BG28" i="12"/>
  <c r="BH28" i="12"/>
  <c r="BF74" i="12"/>
  <c r="BI74" i="12" s="1"/>
  <c r="BJ74" i="12" s="1"/>
  <c r="AD29" i="12"/>
  <c r="BF34" i="12"/>
  <c r="BI34" i="12" s="1"/>
  <c r="BJ34" i="12" s="1"/>
  <c r="BG34" i="12"/>
  <c r="AD40" i="12"/>
  <c r="BF40" i="12"/>
  <c r="BI40" i="12" s="1"/>
  <c r="BJ40" i="12" s="1"/>
  <c r="AD76" i="12"/>
  <c r="BH21" i="12"/>
  <c r="BF21" i="12"/>
  <c r="BI21" i="12" s="1"/>
  <c r="BJ21" i="12" s="1"/>
  <c r="AE21" i="12" s="1"/>
  <c r="BH76" i="12"/>
  <c r="BF19" i="12"/>
  <c r="BF37" i="12"/>
  <c r="BI37" i="12" s="1"/>
  <c r="BJ37" i="12" s="1"/>
  <c r="BG37" i="12"/>
  <c r="BH37" i="12"/>
  <c r="AD37" i="12"/>
  <c r="BF25" i="12"/>
  <c r="BI25" i="12" s="1"/>
  <c r="BJ25" i="12" s="1"/>
  <c r="BH43" i="12"/>
  <c r="BF43" i="12"/>
  <c r="BI43" i="12" s="1"/>
  <c r="BJ43" i="12" s="1"/>
  <c r="BG43" i="12"/>
  <c r="AD43" i="12"/>
  <c r="AD19" i="12"/>
  <c r="AD25" i="12"/>
  <c r="BG25" i="12"/>
  <c r="BH81" i="12"/>
  <c r="BG81" i="12"/>
  <c r="AD81" i="12"/>
  <c r="BF81" i="12"/>
  <c r="BI81" i="12" s="1"/>
  <c r="BJ81" i="12" s="1"/>
  <c r="BG84" i="12"/>
  <c r="BH84" i="12"/>
  <c r="AD84" i="12"/>
  <c r="BF84" i="12"/>
  <c r="BI84" i="12" s="1"/>
  <c r="BJ84" i="12" s="1"/>
  <c r="BH74" i="12"/>
  <c r="AD74" i="12"/>
  <c r="BH72" i="12"/>
  <c r="BF72" i="12"/>
  <c r="BI72" i="12" s="1"/>
  <c r="BJ72" i="12" s="1"/>
  <c r="AD72" i="12"/>
  <c r="BG72" i="12"/>
  <c r="BF76" i="12"/>
  <c r="BI76" i="12" s="1"/>
  <c r="BJ76" i="12" s="1"/>
  <c r="BG32" i="12"/>
  <c r="BF32" i="12"/>
  <c r="BI32" i="12" s="1"/>
  <c r="BJ32" i="12" s="1"/>
  <c r="BH32" i="12"/>
  <c r="AD32" i="12"/>
  <c r="AD49" i="12"/>
  <c r="BF49" i="12"/>
  <c r="BI49" i="12" s="1"/>
  <c r="BJ49" i="12" s="1"/>
  <c r="BH49" i="12"/>
  <c r="BG49" i="12"/>
  <c r="BH30" i="12"/>
  <c r="AD30" i="12"/>
  <c r="BF30" i="12"/>
  <c r="BI30" i="12" s="1"/>
  <c r="BJ30" i="12" s="1"/>
  <c r="BG30" i="12"/>
  <c r="BI19" i="12" l="1"/>
  <c r="BJ19" i="12" s="1"/>
  <c r="AE19" i="12" s="1"/>
  <c r="BI20" i="12"/>
  <c r="BJ20" i="12" s="1"/>
  <c r="AE20" i="12" s="1"/>
  <c r="BI22" i="12"/>
  <c r="BJ22" i="12" s="1"/>
  <c r="AG22" i="12" s="1"/>
  <c r="BI17" i="12"/>
  <c r="BJ17" i="12" s="1"/>
  <c r="BI15" i="12"/>
  <c r="BJ15" i="12" s="1"/>
  <c r="AE15" i="12" s="1"/>
  <c r="BJ33" i="12"/>
  <c r="BK33" i="12" s="1"/>
  <c r="BL33" i="12" s="1"/>
  <c r="BJ39" i="12"/>
  <c r="BK39" i="12" s="1"/>
  <c r="BL39" i="12" s="1"/>
  <c r="BJ18" i="12"/>
  <c r="BJ27" i="12"/>
  <c r="BJ24" i="12"/>
  <c r="BK24" i="12" s="1"/>
  <c r="BL24" i="12" s="1"/>
  <c r="BJ83" i="12"/>
  <c r="BJ82" i="12"/>
  <c r="BK82" i="12" s="1"/>
  <c r="BL82" i="12" s="1"/>
  <c r="AP46" i="12"/>
  <c r="AQ46" i="12"/>
  <c r="H41" i="1"/>
  <c r="G47" i="1" s="1"/>
  <c r="H47" i="1" s="1"/>
  <c r="Q26" i="1"/>
  <c r="AM24" i="12"/>
  <c r="AQ24" i="12" s="1"/>
  <c r="BH13" i="12"/>
  <c r="F48" i="8"/>
  <c r="AM31" i="12"/>
  <c r="AQ31" i="12" s="1"/>
  <c r="AN46" i="12"/>
  <c r="BK81" i="12"/>
  <c r="AJ81" i="12"/>
  <c r="AG81" i="12"/>
  <c r="BK37" i="12"/>
  <c r="AJ37" i="12"/>
  <c r="AG37" i="12"/>
  <c r="BK35" i="12"/>
  <c r="AG35" i="12"/>
  <c r="AJ35" i="12"/>
  <c r="BK29" i="12"/>
  <c r="AG29" i="12"/>
  <c r="AJ29" i="12"/>
  <c r="BK41" i="12"/>
  <c r="AG41" i="12"/>
  <c r="AJ41" i="12"/>
  <c r="AG15" i="12"/>
  <c r="BK36" i="12"/>
  <c r="AJ36" i="12"/>
  <c r="AG36" i="12"/>
  <c r="BK44" i="12"/>
  <c r="AJ44" i="12"/>
  <c r="AG44" i="12"/>
  <c r="BK86" i="12"/>
  <c r="AG86" i="12"/>
  <c r="AJ86" i="12"/>
  <c r="AF82" i="12"/>
  <c r="BL45" i="12"/>
  <c r="AF45" i="12"/>
  <c r="BL28" i="12"/>
  <c r="AF28" i="12"/>
  <c r="AF27" i="12"/>
  <c r="BK76" i="12"/>
  <c r="AJ76" i="12"/>
  <c r="AG76" i="12"/>
  <c r="BK84" i="12"/>
  <c r="AJ84" i="12"/>
  <c r="AG84" i="12"/>
  <c r="BK40" i="12"/>
  <c r="AJ40" i="12"/>
  <c r="AG40" i="12"/>
  <c r="BK80" i="12"/>
  <c r="AJ80" i="12"/>
  <c r="AG80" i="12"/>
  <c r="BK79" i="12"/>
  <c r="AG79" i="12"/>
  <c r="AJ79" i="12"/>
  <c r="BK71" i="12"/>
  <c r="AG71" i="12"/>
  <c r="AJ71" i="12"/>
  <c r="BK30" i="12"/>
  <c r="AJ30" i="12"/>
  <c r="AG30" i="12"/>
  <c r="BK32" i="12"/>
  <c r="AJ32" i="12"/>
  <c r="AG32" i="12"/>
  <c r="BK43" i="12"/>
  <c r="AG43" i="12"/>
  <c r="AJ43" i="12"/>
  <c r="BK19" i="12"/>
  <c r="AG19" i="12"/>
  <c r="BK21" i="12"/>
  <c r="AG21" i="12"/>
  <c r="AJ21" i="12"/>
  <c r="BK74" i="12"/>
  <c r="AG74" i="12"/>
  <c r="AJ74" i="12"/>
  <c r="BK75" i="12"/>
  <c r="AG75" i="12"/>
  <c r="AJ75" i="12"/>
  <c r="BK47" i="12"/>
  <c r="AG47" i="12"/>
  <c r="AJ47" i="12"/>
  <c r="BK23" i="12"/>
  <c r="AG23" i="12"/>
  <c r="AJ23" i="12"/>
  <c r="BK20" i="12"/>
  <c r="AJ20" i="12"/>
  <c r="BK50" i="12"/>
  <c r="AG50" i="12"/>
  <c r="AJ50" i="12"/>
  <c r="BK49" i="12"/>
  <c r="AJ49" i="12"/>
  <c r="AG49" i="12"/>
  <c r="BK72" i="12"/>
  <c r="AJ72" i="12"/>
  <c r="AG72" i="12"/>
  <c r="BK25" i="12"/>
  <c r="AJ25" i="12"/>
  <c r="AG25" i="12"/>
  <c r="BK34" i="12"/>
  <c r="AG34" i="12"/>
  <c r="AJ34" i="12"/>
  <c r="BK73" i="12"/>
  <c r="AG73" i="12"/>
  <c r="AJ73" i="12"/>
  <c r="BK42" i="12"/>
  <c r="AG42" i="12"/>
  <c r="AJ42" i="12"/>
  <c r="BK78" i="12"/>
  <c r="AJ78" i="12"/>
  <c r="AG78" i="12"/>
  <c r="AF39" i="12"/>
  <c r="BL26" i="12"/>
  <c r="AF26" i="12"/>
  <c r="AF33" i="12"/>
  <c r="AF83" i="12"/>
  <c r="AM83" i="12" s="1"/>
  <c r="BL38" i="12"/>
  <c r="AF38" i="12"/>
  <c r="AM38" i="12" s="1"/>
  <c r="BF85" i="12"/>
  <c r="BI85" i="12" s="1"/>
  <c r="BJ85" i="12" s="1"/>
  <c r="BG85" i="12"/>
  <c r="BH85" i="12"/>
  <c r="AD21" i="12"/>
  <c r="BF77" i="12"/>
  <c r="BI77" i="12" s="1"/>
  <c r="BJ77" i="12" s="1"/>
  <c r="BG77" i="12"/>
  <c r="BF16" i="12"/>
  <c r="BI16" i="12" s="1"/>
  <c r="BJ16" i="12" s="1"/>
  <c r="AE16" i="12" s="1"/>
  <c r="AD77" i="12"/>
  <c r="AD16" i="12"/>
  <c r="BI14" i="12"/>
  <c r="BH48" i="12"/>
  <c r="AD48" i="12"/>
  <c r="BF48" i="12"/>
  <c r="BI48" i="12" s="1"/>
  <c r="BJ48" i="12" s="1"/>
  <c r="AB13" i="12"/>
  <c r="BK22" i="12" l="1"/>
  <c r="AE17" i="12"/>
  <c r="AI17" i="12"/>
  <c r="AE22" i="12"/>
  <c r="AI22" i="12"/>
  <c r="AJ22" i="12"/>
  <c r="AG20" i="12"/>
  <c r="AJ19" i="12"/>
  <c r="BK18" i="12"/>
  <c r="AE18" i="12"/>
  <c r="AG18" i="12"/>
  <c r="AJ18" i="12"/>
  <c r="BK17" i="12"/>
  <c r="BL17" i="12" s="1"/>
  <c r="AJ17" i="12"/>
  <c r="AG17" i="12"/>
  <c r="BK15" i="12"/>
  <c r="AF15" i="12" s="1"/>
  <c r="AJ15" i="12"/>
  <c r="P21" i="1"/>
  <c r="P22" i="1"/>
  <c r="P23" i="1"/>
  <c r="BK83" i="12"/>
  <c r="BL83" i="12" s="1"/>
  <c r="BK27" i="12"/>
  <c r="BL27" i="12" s="1"/>
  <c r="BJ14" i="12"/>
  <c r="AP38" i="12"/>
  <c r="AQ38" i="12"/>
  <c r="AP83" i="12"/>
  <c r="AQ83" i="12"/>
  <c r="Q21" i="1"/>
  <c r="G48" i="1"/>
  <c r="H48" i="1" s="1"/>
  <c r="Q23" i="1"/>
  <c r="G49" i="1"/>
  <c r="H49" i="1" s="1"/>
  <c r="Q22" i="1"/>
  <c r="AD13" i="12"/>
  <c r="AN31" i="12"/>
  <c r="AP31" i="12"/>
  <c r="AN24" i="12"/>
  <c r="AP24" i="12"/>
  <c r="BG13" i="12"/>
  <c r="BF13" i="12"/>
  <c r="BI13" i="12" s="1"/>
  <c r="AM39" i="12"/>
  <c r="AQ39" i="12" s="1"/>
  <c r="AM28" i="12"/>
  <c r="AN38" i="12"/>
  <c r="AN83" i="12"/>
  <c r="AM26" i="12"/>
  <c r="AM27" i="12"/>
  <c r="AM45" i="12"/>
  <c r="AM33" i="12"/>
  <c r="AM82" i="12"/>
  <c r="BK16" i="12"/>
  <c r="AJ16" i="12"/>
  <c r="AG16" i="12"/>
  <c r="BK85" i="12"/>
  <c r="AJ85" i="12"/>
  <c r="AG85" i="12"/>
  <c r="BK48" i="12"/>
  <c r="AJ48" i="12"/>
  <c r="AG48" i="12"/>
  <c r="BK77" i="12"/>
  <c r="AG77" i="12"/>
  <c r="AJ77" i="12"/>
  <c r="BL78" i="12"/>
  <c r="AF78" i="12"/>
  <c r="BL42" i="12"/>
  <c r="AF42" i="12"/>
  <c r="BL73" i="12"/>
  <c r="AF73" i="12"/>
  <c r="BL34" i="12"/>
  <c r="AF34" i="12"/>
  <c r="BL25" i="12"/>
  <c r="AF25" i="12"/>
  <c r="BL72" i="12"/>
  <c r="AF72" i="12"/>
  <c r="BL49" i="12"/>
  <c r="AF49" i="12"/>
  <c r="BL50" i="12"/>
  <c r="AF50" i="12"/>
  <c r="BL20" i="12"/>
  <c r="AF20" i="12"/>
  <c r="BL23" i="12"/>
  <c r="AF23" i="12"/>
  <c r="BL47" i="12"/>
  <c r="AF47" i="12"/>
  <c r="BL75" i="12"/>
  <c r="AF75" i="12"/>
  <c r="BL74" i="12"/>
  <c r="AF74" i="12"/>
  <c r="BL21" i="12"/>
  <c r="AF21" i="12"/>
  <c r="AM21" i="12" s="1"/>
  <c r="BL19" i="12"/>
  <c r="AF19" i="12"/>
  <c r="BL43" i="12"/>
  <c r="AF43" i="12"/>
  <c r="BL32" i="12"/>
  <c r="AF32" i="12"/>
  <c r="BL30" i="12"/>
  <c r="AF30" i="12"/>
  <c r="BL71" i="12"/>
  <c r="AF71" i="12"/>
  <c r="BL79" i="12"/>
  <c r="AF79" i="12"/>
  <c r="BL80" i="12"/>
  <c r="AF80" i="12"/>
  <c r="BL40" i="12"/>
  <c r="AF40" i="12"/>
  <c r="BL84" i="12"/>
  <c r="AF84" i="12"/>
  <c r="BL76" i="12"/>
  <c r="AF76" i="12"/>
  <c r="BL86" i="12"/>
  <c r="AF86" i="12"/>
  <c r="BL44" i="12"/>
  <c r="AF44" i="12"/>
  <c r="BL36" i="12"/>
  <c r="AF36" i="12"/>
  <c r="BL22" i="12"/>
  <c r="AF22" i="12"/>
  <c r="BL41" i="12"/>
  <c r="AF41" i="12"/>
  <c r="BL29" i="12"/>
  <c r="AF29" i="12"/>
  <c r="BL35" i="12"/>
  <c r="AF35" i="12"/>
  <c r="BL37" i="12"/>
  <c r="AF37" i="12"/>
  <c r="BL81" i="12"/>
  <c r="AF81" i="12"/>
  <c r="AF17" i="12" l="1"/>
  <c r="BK14" i="12"/>
  <c r="BL14" i="12" s="1"/>
  <c r="AI14" i="12"/>
  <c r="BL15" i="12"/>
  <c r="BL18" i="12"/>
  <c r="AF18" i="12"/>
  <c r="AM18" i="12" s="1"/>
  <c r="AP18" i="12" s="1"/>
  <c r="AE14" i="12"/>
  <c r="AJ14" i="12"/>
  <c r="AG14" i="12"/>
  <c r="P24" i="1"/>
  <c r="BJ13" i="12"/>
  <c r="AE13" i="12" s="1"/>
  <c r="AP27" i="12"/>
  <c r="AQ27" i="12"/>
  <c r="AP33" i="12"/>
  <c r="AQ33" i="12"/>
  <c r="AP26" i="12"/>
  <c r="AQ26" i="12"/>
  <c r="AP28" i="12"/>
  <c r="AQ28" i="12"/>
  <c r="AP21" i="12"/>
  <c r="AQ21" i="12"/>
  <c r="AP82" i="12"/>
  <c r="AQ82" i="12"/>
  <c r="AP45" i="12"/>
  <c r="AQ45" i="12"/>
  <c r="Q24" i="1"/>
  <c r="Q27" i="1" s="1"/>
  <c r="P27" i="1"/>
  <c r="P28" i="1" s="1"/>
  <c r="P30" i="1" s="1"/>
  <c r="AN39" i="12"/>
  <c r="AP39" i="12"/>
  <c r="BH12" i="12"/>
  <c r="BF12" i="12"/>
  <c r="BG12" i="12"/>
  <c r="AN21" i="12"/>
  <c r="AN28" i="12"/>
  <c r="AM37" i="12"/>
  <c r="AM29" i="12"/>
  <c r="AM36" i="12"/>
  <c r="AM86" i="12"/>
  <c r="AM84" i="12"/>
  <c r="AM80" i="12"/>
  <c r="AM71" i="12"/>
  <c r="AM32" i="12"/>
  <c r="AM19" i="12"/>
  <c r="AM74" i="12"/>
  <c r="AM47" i="12"/>
  <c r="AM20" i="12"/>
  <c r="AM49" i="12"/>
  <c r="AM25" i="12"/>
  <c r="AM73" i="12"/>
  <c r="AM17" i="12"/>
  <c r="AN82" i="12"/>
  <c r="AN45" i="12"/>
  <c r="AN26" i="12"/>
  <c r="AM81" i="12"/>
  <c r="AM35" i="12"/>
  <c r="AM41" i="12"/>
  <c r="AM22" i="12"/>
  <c r="AM44" i="12"/>
  <c r="AM76" i="12"/>
  <c r="AM40" i="12"/>
  <c r="AM79" i="12"/>
  <c r="AM30" i="12"/>
  <c r="AM43" i="12"/>
  <c r="AM75" i="12"/>
  <c r="AM23" i="12"/>
  <c r="AM50" i="12"/>
  <c r="AM72" i="12"/>
  <c r="AM34" i="12"/>
  <c r="AM42" i="12"/>
  <c r="AM78" i="12"/>
  <c r="AN33" i="12"/>
  <c r="AN27" i="12"/>
  <c r="AM15" i="12"/>
  <c r="BL77" i="12"/>
  <c r="AF77" i="12"/>
  <c r="BL48" i="12"/>
  <c r="AF48" i="12"/>
  <c r="BL85" i="12"/>
  <c r="AF85" i="12"/>
  <c r="BL16" i="12"/>
  <c r="AF16" i="12"/>
  <c r="AF14" i="12"/>
  <c r="AJ13" i="12"/>
  <c r="BK13" i="12"/>
  <c r="AG13" i="12"/>
  <c r="AQ18" i="12" l="1"/>
  <c r="AN18" i="12"/>
  <c r="AM14" i="12"/>
  <c r="AQ14" i="12" s="1"/>
  <c r="Q28" i="1"/>
  <c r="AP43" i="12"/>
  <c r="AQ43" i="12"/>
  <c r="AP74" i="12"/>
  <c r="AQ74" i="12"/>
  <c r="AP29" i="12"/>
  <c r="AQ29" i="12"/>
  <c r="AP78" i="12"/>
  <c r="AQ78" i="12"/>
  <c r="AP50" i="12"/>
  <c r="AQ50" i="12"/>
  <c r="AP30" i="12"/>
  <c r="AQ30" i="12"/>
  <c r="AP44" i="12"/>
  <c r="AQ44" i="12"/>
  <c r="AP81" i="12"/>
  <c r="AQ81" i="12"/>
  <c r="AP49" i="12"/>
  <c r="AQ49" i="12"/>
  <c r="AP19" i="12"/>
  <c r="AQ19" i="12"/>
  <c r="AP84" i="12"/>
  <c r="AQ84" i="12"/>
  <c r="AP37" i="12"/>
  <c r="AQ37" i="12"/>
  <c r="AP72" i="12"/>
  <c r="AQ72" i="12"/>
  <c r="AP35" i="12"/>
  <c r="AQ35" i="12"/>
  <c r="AP25" i="12"/>
  <c r="AQ25" i="12"/>
  <c r="AP15" i="12"/>
  <c r="AQ15" i="12"/>
  <c r="AP42" i="12"/>
  <c r="AQ42" i="12"/>
  <c r="AP23" i="12"/>
  <c r="AQ23" i="12"/>
  <c r="AP79" i="12"/>
  <c r="AQ79" i="12"/>
  <c r="AP22" i="12"/>
  <c r="AQ22" i="12"/>
  <c r="AP17" i="12"/>
  <c r="AQ17" i="12"/>
  <c r="AP20" i="12"/>
  <c r="AQ20" i="12"/>
  <c r="AP32" i="12"/>
  <c r="AQ32" i="12"/>
  <c r="AP86" i="12"/>
  <c r="AQ86" i="12"/>
  <c r="AP76" i="12"/>
  <c r="AQ76" i="12"/>
  <c r="AP80" i="12"/>
  <c r="AQ80" i="12"/>
  <c r="AP34" i="12"/>
  <c r="AQ34" i="12"/>
  <c r="AP75" i="12"/>
  <c r="AQ75" i="12"/>
  <c r="AP40" i="12"/>
  <c r="AQ40" i="12"/>
  <c r="AP41" i="12"/>
  <c r="AQ41" i="12"/>
  <c r="AP73" i="12"/>
  <c r="AQ73" i="12"/>
  <c r="AP47" i="12"/>
  <c r="AQ47" i="12"/>
  <c r="AP71" i="12"/>
  <c r="AQ71" i="12"/>
  <c r="AP36" i="12"/>
  <c r="AQ36" i="12"/>
  <c r="G51" i="1"/>
  <c r="P31" i="1" s="1"/>
  <c r="P32" i="1" s="1"/>
  <c r="Q30" i="1"/>
  <c r="M37" i="1"/>
  <c r="P37" i="1" s="1"/>
  <c r="G56" i="1"/>
  <c r="H56" i="1" s="1"/>
  <c r="G50" i="1"/>
  <c r="H50" i="1" s="1"/>
  <c r="G52" i="1"/>
  <c r="H52" i="1" s="1"/>
  <c r="G55" i="1"/>
  <c r="H55" i="1" s="1"/>
  <c r="BI12" i="12"/>
  <c r="BJ12" i="12" s="1"/>
  <c r="AI12" i="12" s="1"/>
  <c r="H51" i="1"/>
  <c r="AN72" i="12"/>
  <c r="AN74" i="12"/>
  <c r="AM85" i="12"/>
  <c r="AM77" i="12"/>
  <c r="AN43" i="12"/>
  <c r="AN79" i="12"/>
  <c r="AN76" i="12"/>
  <c r="AN22" i="12"/>
  <c r="AN35" i="12"/>
  <c r="AN17" i="12"/>
  <c r="AN25" i="12"/>
  <c r="AN20" i="12"/>
  <c r="AN32" i="12"/>
  <c r="AN80" i="12"/>
  <c r="AN23" i="12"/>
  <c r="AN29" i="12"/>
  <c r="AN34" i="12"/>
  <c r="AN50" i="12"/>
  <c r="AN44" i="12"/>
  <c r="AN41" i="12"/>
  <c r="AN81" i="12"/>
  <c r="AN73" i="12"/>
  <c r="AN47" i="12"/>
  <c r="AN19" i="12"/>
  <c r="AN71" i="12"/>
  <c r="AN84" i="12"/>
  <c r="AN42" i="12"/>
  <c r="AN86" i="12"/>
  <c r="AM16" i="12"/>
  <c r="AM48" i="12"/>
  <c r="AN78" i="12"/>
  <c r="AN75" i="12"/>
  <c r="AN30" i="12"/>
  <c r="AN40" i="12"/>
  <c r="AN49" i="12"/>
  <c r="AN36" i="12"/>
  <c r="AN37" i="12"/>
  <c r="AN15" i="12"/>
  <c r="AF13" i="12"/>
  <c r="BL13" i="12"/>
  <c r="AP14" i="12" l="1"/>
  <c r="AN14" i="12"/>
  <c r="AJ12" i="12"/>
  <c r="AE12" i="12"/>
  <c r="AG12" i="12"/>
  <c r="AP85" i="12"/>
  <c r="AQ85" i="12"/>
  <c r="AP77" i="12"/>
  <c r="AQ77" i="12"/>
  <c r="AP48" i="12"/>
  <c r="AQ48" i="12"/>
  <c r="AP16" i="12"/>
  <c r="AQ16" i="12"/>
  <c r="G53" i="1"/>
  <c r="Q37" i="1"/>
  <c r="H58" i="1"/>
  <c r="G58" i="1"/>
  <c r="H53" i="1"/>
  <c r="Q31" i="1"/>
  <c r="Q32" i="1" s="1"/>
  <c r="M34" i="1" s="1"/>
  <c r="AN77" i="12"/>
  <c r="AN48" i="12"/>
  <c r="AN16" i="12"/>
  <c r="AN85" i="12"/>
  <c r="AM13" i="12"/>
  <c r="BK12" i="12" l="1"/>
  <c r="AF12" i="12" s="1"/>
  <c r="AM12" i="12" s="1"/>
  <c r="AP12" i="12" s="1"/>
  <c r="AP13" i="12"/>
  <c r="AQ13" i="12"/>
  <c r="G60" i="1"/>
  <c r="G63" i="1" s="1"/>
  <c r="M36" i="1"/>
  <c r="Q36" i="1" s="1"/>
  <c r="M35" i="1"/>
  <c r="H60" i="1"/>
  <c r="H63" i="1" s="1"/>
  <c r="H75" i="1" s="1"/>
  <c r="P34" i="1"/>
  <c r="AN13" i="12"/>
  <c r="Q11" i="1" l="1"/>
  <c r="Q13" i="1"/>
  <c r="Q10" i="1"/>
  <c r="H74" i="1"/>
  <c r="Q14" i="1"/>
  <c r="AQ12" i="12"/>
  <c r="BL12" i="12"/>
  <c r="M38" i="1"/>
  <c r="Q35" i="1"/>
  <c r="P36" i="1"/>
  <c r="P35" i="1"/>
  <c r="Q34" i="1"/>
  <c r="AM11" i="12" l="1"/>
  <c r="AP11" i="12" s="1"/>
  <c r="O4" i="12" s="1"/>
  <c r="AN12" i="12"/>
  <c r="AN11" i="12" s="1"/>
  <c r="P38" i="1"/>
  <c r="P41" i="1" s="1"/>
  <c r="Q38" i="1"/>
  <c r="Q41" i="1" s="1"/>
  <c r="AQ11" i="12" l="1"/>
</calcChain>
</file>

<file path=xl/comments1.xml><?xml version="1.0" encoding="utf-8"?>
<comments xmlns="http://schemas.openxmlformats.org/spreadsheetml/2006/main">
  <authors>
    <author>Bé Keizer</author>
    <author>Keizer</author>
    <author>B Keizer</author>
  </authors>
  <commentList>
    <comment ref="E20" authorId="0" shapeId="0">
      <text>
        <r>
          <rPr>
            <sz val="8"/>
            <color indexed="81"/>
            <rFont val="Tahoma"/>
            <family val="2"/>
          </rPr>
          <t xml:space="preserve">
Alleen bij de functie ID1 geldt dat er sprake is van een aanloopschaal van twee regels. Deze aanloopschalen zijn in dit instrument buiten beschouwing gelaten, gestart wordt met regel 1. 
</t>
        </r>
      </text>
    </comment>
    <comment ref="E31" authorId="1" shapeId="0">
      <text>
        <r>
          <rPr>
            <sz val="9"/>
            <color indexed="81"/>
            <rFont val="Tahoma"/>
            <family val="2"/>
          </rPr>
          <t xml:space="preserve">
Deze toeslag wordt toegekend aan leraren die voldoen aan artikel 6.13 van de cao po, zie tabellen.</t>
        </r>
      </text>
    </comment>
    <comment ref="E32" authorId="0" shapeId="0">
      <text>
        <r>
          <rPr>
            <sz val="9"/>
            <color indexed="81"/>
            <rFont val="Tahoma"/>
            <family val="2"/>
          </rPr>
          <t xml:space="preserve">
Geldt voor de directeuren verbonden aan een school PO die benoemd zijn in de schalen DA t/m DCuitloop (incl. meerhoofdig).</t>
        </r>
      </text>
    </comment>
    <comment ref="E33" authorId="2" shapeId="0">
      <text>
        <r>
          <rPr>
            <sz val="9"/>
            <color indexed="81"/>
            <rFont val="Tahoma"/>
            <family val="2"/>
          </rPr>
          <t xml:space="preserve">
Deze compensatie / inkomenstoelage geldt alleen voor OOP-ers.</t>
        </r>
      </text>
    </comment>
    <comment ref="E34" authorId="1" shapeId="0">
      <text>
        <r>
          <rPr>
            <sz val="9"/>
            <color indexed="81"/>
            <rFont val="Tahoma"/>
            <family val="2"/>
          </rPr>
          <t xml:space="preserve">
Deze eindejaarsuitkering wordt toegekend aan de schalen 1  t/m 8. Zie tabellen.</t>
        </r>
      </text>
    </comment>
    <comment ref="E35" authorId="0" shapeId="0">
      <text>
        <r>
          <rPr>
            <sz val="9"/>
            <color indexed="81"/>
            <rFont val="Tahoma"/>
            <family val="2"/>
          </rPr>
          <t xml:space="preserve">
Deze uitkering (op de dag van de leraar) bedraagt bij een normbetrekking 200 euro die in de maanden januari t/m oktober wordt opgebouwd en uitgekeerd in oktober. De uitkering geldt voor iedereen die werkzaam is in het primair onderwijs (dus ook  onderwijsondersteunend personeel en directieleden).</t>
        </r>
      </text>
    </comment>
    <comment ref="E36" authorId="1" shapeId="0">
      <text>
        <r>
          <rPr>
            <sz val="9"/>
            <color indexed="81"/>
            <rFont val="Tahoma"/>
            <family val="2"/>
          </rPr>
          <t xml:space="preserve">
De 0,8% wordt berekend over het bruto-loon en de uitlooptoeslag, en is niet pensioengevend. Daarom worden er ook geen pensioenpremies over berekend, wel de andere premies.
(Overgangsrecht VPL is nu vervallen).</t>
        </r>
      </text>
    </comment>
    <comment ref="E41" authorId="1" shapeId="0">
      <text>
        <r>
          <rPr>
            <sz val="9"/>
            <color indexed="81"/>
            <rFont val="Tahoma"/>
            <family val="2"/>
          </rPr>
          <t xml:space="preserve">
Het jaarinkomen ABP wordt in januari van elk jaar bepaald.</t>
        </r>
      </text>
    </comment>
    <comment ref="E55" authorId="0" shapeId="0">
      <text>
        <r>
          <rPr>
            <sz val="9"/>
            <color indexed="81"/>
            <rFont val="Tahoma"/>
            <family val="2"/>
          </rPr>
          <t xml:space="preserve">
Zie toelichting:
1 = premie verplichte verzekering 
2 = premie vrijwillige verzekering 
3 = eigenrisicodrager
4 = geen premie</t>
        </r>
      </text>
    </comment>
    <comment ref="E57" authorId="1" shapeId="0">
      <text>
        <r>
          <rPr>
            <sz val="9"/>
            <color indexed="81"/>
            <rFont val="Tahoma"/>
            <family val="2"/>
          </rPr>
          <t xml:space="preserve">
Denk hierbij aan reis- en verblijfkosten, een eventuele parkeervergoeding, EHBO- of telefoontoelage etc. en ook het rechtspositioneel verlof.
Eigenrisicodragers VF: ziektekosten die niet gedeclareerd kunnen worden.</t>
        </r>
      </text>
    </comment>
  </commentList>
</comments>
</file>

<file path=xl/comments2.xml><?xml version="1.0" encoding="utf-8"?>
<comments xmlns="http://schemas.openxmlformats.org/spreadsheetml/2006/main">
  <authors>
    <author>Bé Keizer</author>
    <author>Gebruiker</author>
    <author>Keizer</author>
  </authors>
  <commentList>
    <comment ref="D13" authorId="0" shapeId="0">
      <text>
        <r>
          <rPr>
            <sz val="8"/>
            <color indexed="81"/>
            <rFont val="Tahoma"/>
            <family val="2"/>
          </rPr>
          <t xml:space="preserve">
Alleen bij de functie ID1 geldt dat er sprake is van een aanloopschaal van twee regels. Die eerste twee regels zijn daarom weggelaten en de gehele schaal omvat daarom in dit instrument 7 regels i.p.v. 9. Zie de tabellen rij 48.</t>
        </r>
      </text>
    </comment>
    <comment ref="E28" authorId="1" shapeId="0">
      <text>
        <r>
          <rPr>
            <sz val="8"/>
            <color indexed="81"/>
            <rFont val="Tahoma"/>
            <family val="2"/>
          </rPr>
          <t xml:space="preserve">
</t>
        </r>
        <r>
          <rPr>
            <sz val="10"/>
            <color indexed="81"/>
            <rFont val="Tahoma"/>
            <family val="2"/>
          </rPr>
          <t>delen van een maand als hele maand rekenen</t>
        </r>
      </text>
    </comment>
    <comment ref="J43" authorId="0" shapeId="0">
      <text>
        <r>
          <rPr>
            <sz val="9"/>
            <color indexed="81"/>
            <rFont val="Tahoma"/>
            <family val="2"/>
          </rPr>
          <t xml:space="preserve">
Betreft niveau 2012 en geldt voor 26 weken.De korting is niet meer dan het bedrag dat u in 2012 minder krijgt aan belastbaar loon in vergelijking met 2011. De korting bedraagt € 4,18 per opgenomen uur (Belastingen, inkomstenbelasting 2012).
</t>
        </r>
      </text>
    </comment>
    <comment ref="H45" authorId="2" shapeId="0">
      <text>
        <r>
          <rPr>
            <sz val="8"/>
            <color indexed="81"/>
            <rFont val="Tahoma"/>
            <family val="2"/>
          </rPr>
          <t xml:space="preserve">
Betreft niveau 2012
</t>
        </r>
      </text>
    </comment>
    <comment ref="H54" authorId="2" shapeId="0">
      <text>
        <r>
          <rPr>
            <sz val="8"/>
            <color indexed="81"/>
            <rFont val="Tahoma"/>
            <family val="2"/>
          </rPr>
          <t>Vaststellen op basis van totaal aantal fte gedeeld door het totaal aantal personeelsleden bij het betreffende bestuur. 
De 73,9% is een landelijk cijfer van 2010.</t>
        </r>
      </text>
    </comment>
  </commentList>
</comments>
</file>

<file path=xl/comments3.xml><?xml version="1.0" encoding="utf-8"?>
<comments xmlns="http://schemas.openxmlformats.org/spreadsheetml/2006/main">
  <authors>
    <author>Keizer</author>
  </authors>
  <commentList>
    <comment ref="D10" authorId="0" shapeId="0">
      <text>
        <r>
          <rPr>
            <sz val="9"/>
            <color indexed="81"/>
            <rFont val="Tahoma"/>
            <family val="2"/>
          </rPr>
          <t xml:space="preserve">
Opgave i.v.m. toe(s)lagen.
OOP S9 houdt in inschaling in schaal 9 of hoger voor OOP.</t>
        </r>
      </text>
    </comment>
  </commentList>
</comments>
</file>

<file path=xl/comments4.xml><?xml version="1.0" encoding="utf-8"?>
<comments xmlns="http://schemas.openxmlformats.org/spreadsheetml/2006/main">
  <authors>
    <author>Keizer</author>
  </authors>
  <commentList>
    <comment ref="F40" authorId="0" shapeId="0">
      <text>
        <r>
          <rPr>
            <sz val="8"/>
            <color indexed="81"/>
            <rFont val="Tahoma"/>
            <family val="2"/>
          </rPr>
          <t>Omvang personeelsbestand bestuur in aantal fte.</t>
        </r>
      </text>
    </comment>
    <comment ref="F41" authorId="0" shapeId="0">
      <text>
        <r>
          <rPr>
            <sz val="8"/>
            <color indexed="81"/>
            <rFont val="Tahoma"/>
            <family val="2"/>
          </rPr>
          <t xml:space="preserve">
Vaststellen op basis van totaal aantal fte gedeeld door het totaal aantal personeelsleden bij het betreffende bestuur. 
De 73,9% is een landelijk gegeven (2010).</t>
        </r>
      </text>
    </comment>
    <comment ref="F44" authorId="0" shapeId="0">
      <text>
        <r>
          <rPr>
            <sz val="8"/>
            <color indexed="81"/>
            <rFont val="Tahoma"/>
            <family val="2"/>
          </rPr>
          <t xml:space="preserve">
Aantal herintreders in fte gedeeld door aantal fte.
Landelijke raming ontbreekt. Raming kan per bestuur sterk variëren. Daarom vaststellen op basis van eigen gegevens.</t>
        </r>
      </text>
    </comment>
    <comment ref="F46" authorId="0" shapeId="0">
      <text>
        <r>
          <rPr>
            <sz val="8"/>
            <color indexed="81"/>
            <rFont val="Tahoma"/>
            <family val="2"/>
          </rPr>
          <t>Is mede gebaseerd op de aanname dat even vaak sprake is van 1 als 2 periodieken, gemiddeld dus 1,5 periodiek.</t>
        </r>
      </text>
    </comment>
  </commentList>
</comments>
</file>

<file path=xl/comments5.xml><?xml version="1.0" encoding="utf-8"?>
<comments xmlns="http://schemas.openxmlformats.org/spreadsheetml/2006/main">
  <authors>
    <author>B Keizer</author>
    <author>Bé Keizer</author>
    <author>Keizer</author>
  </authors>
  <commentList>
    <comment ref="H8" authorId="0" shapeId="0">
      <text>
        <r>
          <rPr>
            <sz val="9"/>
            <color indexed="81"/>
            <rFont val="Tahoma"/>
            <family val="2"/>
          </rPr>
          <t xml:space="preserve">
Moet groter dan 0,00 zijn.</t>
        </r>
      </text>
    </comment>
    <comment ref="J8" authorId="1" shapeId="0">
      <text>
        <r>
          <rPr>
            <sz val="11"/>
            <color indexed="81"/>
            <rFont val="Tahoma"/>
            <family val="2"/>
          </rPr>
          <t xml:space="preserve">
Zie toelichting:
1 = premie verplichte verzekering 
2 = premie vrijwillige verzekering 
3 = eigenrisicodrager 
4 = geen premie
</t>
        </r>
      </text>
    </comment>
    <comment ref="AK8" authorId="2" shapeId="0">
      <text>
        <r>
          <rPr>
            <sz val="9"/>
            <color indexed="81"/>
            <rFont val="Tahoma"/>
            <family val="2"/>
          </rPr>
          <t xml:space="preserve">
Denk hierbij aan reis- en verblijfkosten, een eventuele parkeervergoeding, EHBO- of telefoontoelage, eigen risico VF: vervangingskosten etc. en vanaf 1 jan. 2015 ook het rechtspositioneel verlof.</t>
        </r>
      </text>
    </comment>
    <comment ref="I9" authorId="0" shapeId="0">
      <text>
        <r>
          <rPr>
            <sz val="9"/>
            <color indexed="81"/>
            <rFont val="Tahoma"/>
            <family val="2"/>
          </rPr>
          <t xml:space="preserve">
Kan alleen met "j" worden ingevuld als het een leraar betreft, die voldoet aan art. 6.13 cao po.</t>
        </r>
      </text>
    </comment>
    <comment ref="BA12"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13"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14"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15"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16"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17"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18"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19"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20"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21"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22"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23"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24"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25"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26"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27"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28"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29"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30"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31"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32"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33"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34"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35"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36"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37"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38"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39"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40"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41"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42"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43"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44"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45"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46"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47"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48"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49"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50"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51"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52"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53"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54"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55"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56"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57"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58"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59"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60"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61"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62"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63"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64"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65"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66"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67"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68"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69"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70"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71"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72"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73"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74"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75"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76"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77"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78"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79"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80"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81"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82"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83"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84"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85"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A86"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List>
</comments>
</file>

<file path=xl/comments6.xml><?xml version="1.0" encoding="utf-8"?>
<comments xmlns="http://schemas.openxmlformats.org/spreadsheetml/2006/main">
  <authors>
    <author>B Keizer</author>
    <author>Keizer</author>
    <author>B. Keizer</author>
    <author>Bé Keizer</author>
  </authors>
  <commentList>
    <comment ref="C4" authorId="0" shapeId="0">
      <text>
        <r>
          <rPr>
            <sz val="9"/>
            <color indexed="81"/>
            <rFont val="Tahoma"/>
            <family val="2"/>
          </rPr>
          <t xml:space="preserve"> 
Zodra de premies van 1 januari 2019 bekend zijn verschijnt een update.</t>
        </r>
      </text>
    </comment>
    <comment ref="A9" authorId="1" shapeId="0">
      <text>
        <r>
          <rPr>
            <sz val="9"/>
            <color indexed="81"/>
            <rFont val="Tahoma"/>
            <family val="2"/>
          </rPr>
          <t xml:space="preserve">
De premie voor KinderOpvang is hier ondergebracht.</t>
        </r>
      </text>
    </comment>
    <comment ref="A10" authorId="1" shapeId="0">
      <text>
        <r>
          <rPr>
            <sz val="9"/>
            <color indexed="81"/>
            <rFont val="Tahoma"/>
            <family val="2"/>
          </rPr>
          <t xml:space="preserve">
De gedifferentieerde premie WGA is opgegaan in gedifferentieerde premie Werkhervattingskas (Whk), die daarnaast bestaat uit premies voor flexwerkers. De gedifferentieerde premie Whk bestaat uit de volgende delen: WGA-vast, WGA-flex en ZW-flex.
De premiepercentages die van toepassing zijn worden door de belastingdienst toegestuurd waarbij onderscheid gemaakt wordt in grote, middelgrote en kleine werkgevers.
De hier opgenomen premie voor WGA-vast, -flex, ZW-flex betreft die voor kleine werkgevers die sectorbreed gelden. Voor grote werkgevers wordt de premie individueel bepaald en voor middelgrote werkgevers wordt de premie bepaald op een gewogen gemiddelde van de sectorale en de individuele premie.</t>
        </r>
      </text>
    </comment>
    <comment ref="C15" authorId="2" shapeId="0">
      <text>
        <r>
          <rPr>
            <sz val="9"/>
            <color indexed="81"/>
            <rFont val="Tahoma"/>
            <family val="2"/>
          </rPr>
          <t xml:space="preserve">
Bij geen volledige ERD kan men hier het van toepassing zijnde percentage invullen.</t>
        </r>
      </text>
    </comment>
    <comment ref="A33" authorId="0" shapeId="0">
      <text>
        <r>
          <rPr>
            <sz val="9"/>
            <color indexed="81"/>
            <rFont val="Tahoma"/>
            <family val="2"/>
          </rPr>
          <t xml:space="preserve">
Eenmalige uitkering werknemers van 750 euro (rato wtf en aanstellingsduur 2018 t/m augustus in 2018).</t>
        </r>
      </text>
    </comment>
    <comment ref="A35" authorId="0" shapeId="0">
      <text>
        <r>
          <rPr>
            <sz val="9"/>
            <color indexed="81"/>
            <rFont val="Tahoma"/>
            <family val="2"/>
          </rPr>
          <t xml:space="preserve">
Uitkering van 42% van maandsalaris in oktober 2018 naar rato aanstellingsduur en wtf t/m augustus 2018.</t>
        </r>
      </text>
    </comment>
    <comment ref="A37" authorId="0" shapeId="0">
      <text>
        <r>
          <rPr>
            <sz val="9"/>
            <color indexed="81"/>
            <rFont val="Tahoma"/>
            <family val="2"/>
          </rPr>
          <t xml:space="preserve">
Betreft inkomenstoelage voor alleen OOP-ers.</t>
        </r>
      </text>
    </comment>
    <comment ref="A52" authorId="3" shapeId="0">
      <text>
        <r>
          <rPr>
            <sz val="9"/>
            <color indexed="81"/>
            <rFont val="Tahoma"/>
            <family val="2"/>
          </rPr>
          <t xml:space="preserve">
Geldt voor de directeuren verbonden aan een school PO die benoemd zijn in de schalen DA t/m DCuitloop (incl. meerhoofdig).</t>
        </r>
      </text>
    </comment>
    <comment ref="C55" authorId="0" shapeId="0">
      <text>
        <r>
          <rPr>
            <sz val="9"/>
            <color indexed="81"/>
            <rFont val="Tahoma"/>
            <family val="2"/>
          </rPr>
          <t xml:space="preserve"> 
Zodra de tarieven etc. per 1 januari 2019 bekend zijn verschijnt een update.</t>
        </r>
      </text>
    </comment>
    <comment ref="A86" authorId="3" shapeId="0">
      <text>
        <r>
          <rPr>
            <sz val="9"/>
            <color indexed="81"/>
            <rFont val="Tahoma"/>
            <family val="2"/>
          </rPr>
          <t xml:space="preserve">
Aanloopschalen a1 en a2 achterwege gelaten. Aanpassing min. loon per 1-1-2018 zorgt dat de aanloopschalen dan tenminste 1578 zijn. </t>
        </r>
      </text>
    </comment>
    <comment ref="A131" authorId="3" shapeId="0">
      <text>
        <r>
          <rPr>
            <sz val="9"/>
            <color indexed="81"/>
            <rFont val="Tahoma"/>
            <family val="2"/>
          </rPr>
          <t xml:space="preserve">
Aanloopschalen a1 en a2 achterwege gelaten. Aanpassing min. loon per 1-1-2018 zorgt dat de aanloopschalen dan tenminste 1578 zijn. </t>
        </r>
      </text>
    </comment>
    <comment ref="A176" authorId="3" shapeId="0">
      <text>
        <r>
          <rPr>
            <sz val="9"/>
            <color indexed="81"/>
            <rFont val="Tahoma"/>
            <family val="2"/>
          </rPr>
          <t xml:space="preserve">
Aanloopschalen a1 en a2 achterwege gelaten. Aanpassing min. loon per 1-1-2018 zorgt dat de aanloopschalen dan tenminste 1578 zijn. </t>
        </r>
      </text>
    </comment>
    <comment ref="A221" authorId="3" shapeId="0">
      <text>
        <r>
          <rPr>
            <sz val="9"/>
            <color indexed="81"/>
            <rFont val="Tahoma"/>
            <family val="2"/>
          </rPr>
          <t xml:space="preserve">
Aanloopschalen a1 en a2 achterwege gelaten. Aanpassing min. loon per 1-1-2018 zorgt dat de aanloopschalen dan tenminste 1578 zijn. </t>
        </r>
      </text>
    </comment>
  </commentList>
</comments>
</file>

<file path=xl/sharedStrings.xml><?xml version="1.0" encoding="utf-8"?>
<sst xmlns="http://schemas.openxmlformats.org/spreadsheetml/2006/main" count="776" uniqueCount="418">
  <si>
    <t>LA</t>
  </si>
  <si>
    <t>salaristabellen</t>
  </si>
  <si>
    <t>schaal / regel</t>
  </si>
  <si>
    <t>DA</t>
  </si>
  <si>
    <t>DB</t>
  </si>
  <si>
    <t>DBuit</t>
  </si>
  <si>
    <t>DC</t>
  </si>
  <si>
    <t>DCuit</t>
  </si>
  <si>
    <t>DD</t>
  </si>
  <si>
    <t>DE</t>
  </si>
  <si>
    <t>AA</t>
  </si>
  <si>
    <t>AB</t>
  </si>
  <si>
    <t>AC</t>
  </si>
  <si>
    <t>AD</t>
  </si>
  <si>
    <t>AE</t>
  </si>
  <si>
    <t>LB</t>
  </si>
  <si>
    <t>LC</t>
  </si>
  <si>
    <t>LD</t>
  </si>
  <si>
    <t>LE</t>
  </si>
  <si>
    <t>LIOa</t>
  </si>
  <si>
    <t>LIOb</t>
  </si>
  <si>
    <t>schaal</t>
  </si>
  <si>
    <t>regel</t>
  </si>
  <si>
    <t>Salarisgegevens</t>
  </si>
  <si>
    <t>norm maandsalaris</t>
  </si>
  <si>
    <t>Werktijdfactor</t>
  </si>
  <si>
    <t>wtf x maandsalaris</t>
  </si>
  <si>
    <t>regels</t>
  </si>
  <si>
    <t>oud</t>
  </si>
  <si>
    <t>extra per</t>
  </si>
  <si>
    <t>toename</t>
  </si>
  <si>
    <t>gemiddeld</t>
  </si>
  <si>
    <t>P. Werknemer</t>
  </si>
  <si>
    <t>Toelichting</t>
  </si>
  <si>
    <t>Werkblad Tabellen</t>
  </si>
  <si>
    <t>De werkbladen zijn beveiligd met het wachtwoord:</t>
  </si>
  <si>
    <t>vakantieuitkering</t>
  </si>
  <si>
    <t>OP/NP</t>
  </si>
  <si>
    <t>werkgever</t>
  </si>
  <si>
    <t>werknemer</t>
  </si>
  <si>
    <t>Tabel premiepercentages</t>
  </si>
  <si>
    <t>max. bedrag</t>
  </si>
  <si>
    <t>maand</t>
  </si>
  <si>
    <t>UFO</t>
  </si>
  <si>
    <t>premie Vf</t>
  </si>
  <si>
    <t>premie Pf</t>
  </si>
  <si>
    <t>Jaarinkomen ABP</t>
  </si>
  <si>
    <t>per maand</t>
  </si>
  <si>
    <t>per jaar</t>
  </si>
  <si>
    <t>Vervolgens worden de werkgeverslasten berekend.</t>
  </si>
  <si>
    <t>Uitlooptoeslag</t>
  </si>
  <si>
    <t>leraar</t>
  </si>
  <si>
    <t>directie</t>
  </si>
  <si>
    <t>OOP S9</t>
  </si>
  <si>
    <t>Werknemer</t>
  </si>
  <si>
    <t>Overige loonkosten</t>
  </si>
  <si>
    <t>Participatiefonds</t>
  </si>
  <si>
    <t>Structurele eindejaarsuitkering</t>
  </si>
  <si>
    <t>eindejaarsuitkering</t>
  </si>
  <si>
    <t>Minimum vakantietoelage, fulltimer</t>
  </si>
  <si>
    <t>meerh bas DA</t>
  </si>
  <si>
    <t>meerh bas DB</t>
  </si>
  <si>
    <t>meerh bas DBuit</t>
  </si>
  <si>
    <t>meerh sbo DB10</t>
  </si>
  <si>
    <t>meerh sbo DB11</t>
  </si>
  <si>
    <t>meerh sbo DC 13</t>
  </si>
  <si>
    <t>meerh sbo DCuit15</t>
  </si>
  <si>
    <t>meerh bas DA11</t>
  </si>
  <si>
    <t>ID1</t>
  </si>
  <si>
    <t>ID2</t>
  </si>
  <si>
    <t>ID3</t>
  </si>
  <si>
    <t>ZVW</t>
  </si>
  <si>
    <t>Loon voor de loonbelasting</t>
  </si>
  <si>
    <t>franchise jr</t>
  </si>
  <si>
    <t>franchise mnd</t>
  </si>
  <si>
    <t>NB: Uitsluitend gebruik gemaakt van onderstaande tabellen</t>
  </si>
  <si>
    <t>Schijf</t>
  </si>
  <si>
    <t>Belasting</t>
  </si>
  <si>
    <t>Heffingskortingen</t>
  </si>
  <si>
    <t>algemene heffingskorting</t>
  </si>
  <si>
    <t>arbeidskorting</t>
  </si>
  <si>
    <t>geboren</t>
  </si>
  <si>
    <t>percentage</t>
  </si>
  <si>
    <t>maximaal</t>
  </si>
  <si>
    <t>Compensatie ziektekosten</t>
  </si>
  <si>
    <t>eindejaarsuitkering OOP</t>
  </si>
  <si>
    <t>Eindejaarsuitkering OOP</t>
  </si>
  <si>
    <t xml:space="preserve">Ook de berekening van het bruto-netto traject voor de werknemer beoogt slechts een indicatie op hoofdlijnen </t>
  </si>
  <si>
    <t xml:space="preserve">te geven. De 'echte' berekening plus de berekening loonbelasting is een complexe materie die hier vereenvoudigd </t>
  </si>
  <si>
    <t>Overige toelagen</t>
  </si>
  <si>
    <t>Deze zijn nader aangegeven en voor zover nodig nader toegelicht.</t>
  </si>
  <si>
    <t>ja</t>
  </si>
  <si>
    <t>Naam werknemer</t>
  </si>
  <si>
    <t>Werknemer met kind</t>
  </si>
  <si>
    <t>nee</t>
  </si>
  <si>
    <t>Opgave omvang betaald ouderschapsverlof in lesuren:</t>
  </si>
  <si>
    <t>Omvang betaald ouderschapsverlof</t>
  </si>
  <si>
    <t>klokuren</t>
  </si>
  <si>
    <t>lesuren</t>
  </si>
  <si>
    <t>Beschikbaar</t>
  </si>
  <si>
    <t>Opname</t>
  </si>
  <si>
    <t>Percentage</t>
  </si>
  <si>
    <t>Opname in aantal maanden</t>
  </si>
  <si>
    <t>Salariskorting</t>
  </si>
  <si>
    <t>Regulier salaris</t>
  </si>
  <si>
    <t>Uitbetaald salaris</t>
  </si>
  <si>
    <t>Totaal betaald verlof in verlofperiode</t>
  </si>
  <si>
    <t>Structureel</t>
  </si>
  <si>
    <t>Aantal personeelsleden</t>
  </si>
  <si>
    <t>zelf in te vullen</t>
  </si>
  <si>
    <t>Gemiddelde betrekkingsomvang</t>
  </si>
  <si>
    <t>tot</t>
  </si>
  <si>
    <t>Personeelsleden van</t>
  </si>
  <si>
    <t>landelijk gemiddelde</t>
  </si>
  <si>
    <t>Gemiddeld aantal kinderen</t>
  </si>
  <si>
    <t>Maximaal aantal ouderschapsverloven</t>
  </si>
  <si>
    <t>Effectuering ouderschapverlof</t>
  </si>
  <si>
    <t>raming</t>
  </si>
  <si>
    <t>Gemiddeld aantal per jaar</t>
  </si>
  <si>
    <t>Gemiddelde kosten per jaar per verlof</t>
  </si>
  <si>
    <t>Kosten totale verlof per jaar</t>
  </si>
  <si>
    <t>Functiedifferentiatie of pro- of demotie</t>
  </si>
  <si>
    <t xml:space="preserve">Salarisgegevens per 1 augustus, na toekenning reguliere periodieke verhoging </t>
  </si>
  <si>
    <t>maximumregel:</t>
  </si>
  <si>
    <t>Leeftijd per 1 augustus</t>
  </si>
  <si>
    <t>Met pensioen/uittreden op leeftijd</t>
  </si>
  <si>
    <t>Inschaling in nieuwe functie</t>
  </si>
  <si>
    <t>Nieuwe omvang wtf</t>
  </si>
  <si>
    <t>Verhoging eerste jaar per maand</t>
  </si>
  <si>
    <t>Opslagpercentage werkgeverslasten</t>
  </si>
  <si>
    <t>Werkgeverslasten eerste jaar</t>
  </si>
  <si>
    <t>Aantal jaren meer/minder kosten</t>
  </si>
  <si>
    <t>Gemiddelde kosten</t>
  </si>
  <si>
    <t>nieuwe schaal</t>
  </si>
  <si>
    <t>voormalige schaal</t>
  </si>
  <si>
    <t>Alle categorien Personeel</t>
  </si>
  <si>
    <t>Toekenning extra periodiek(en)</t>
  </si>
  <si>
    <t>herintreder</t>
  </si>
  <si>
    <t>eerste aanstelling</t>
  </si>
  <si>
    <t>beloningsbeleid</t>
  </si>
  <si>
    <t>aantal periodieken</t>
  </si>
  <si>
    <t>Kosten gedurende eerste jaar per maand</t>
  </si>
  <si>
    <t>Aantal jaren meerkosten</t>
  </si>
  <si>
    <t>Kosten totaal</t>
  </si>
  <si>
    <t>Kosten herintreders</t>
  </si>
  <si>
    <t>OPO Ergens</t>
  </si>
  <si>
    <t>Aantal fte</t>
  </si>
  <si>
    <t>Aantal herintreders met extra periodieken</t>
  </si>
  <si>
    <t>Gemiddelde kosten per jaar per herintreder</t>
  </si>
  <si>
    <t>Totale kosten per jaar</t>
  </si>
  <si>
    <t>OP</t>
  </si>
  <si>
    <t>Bestuur</t>
  </si>
  <si>
    <t>Voor het maken van meerjarenformatiebeleid in relatie tot een meerjarenbegroting is deze info van belang.</t>
  </si>
  <si>
    <t>0,8% levensloop</t>
  </si>
  <si>
    <t>Tabel 1 Schijventarief inkomstenbelasting/premie volksverzekeringen</t>
  </si>
  <si>
    <t>Inkomsten</t>
  </si>
  <si>
    <t>totaal</t>
  </si>
  <si>
    <t>WAO/WIA</t>
  </si>
  <si>
    <t>per gespaard kalenderjaar.</t>
  </si>
  <si>
    <t>Verlofwerktijdfactor</t>
  </si>
  <si>
    <t>Doorbetaling 55% salaris werkgever</t>
  </si>
  <si>
    <t>Dag van de leraar (OP, OOP, Dir)</t>
  </si>
  <si>
    <t>AOP</t>
  </si>
  <si>
    <t>VF: premie verplichte aansluiting</t>
  </si>
  <si>
    <t>VF: premie vrijwillige aansluiting</t>
  </si>
  <si>
    <t>Inzet 0,8% levensloop</t>
  </si>
  <si>
    <t>Toelage directeuren</t>
  </si>
  <si>
    <t>toelage directeuren</t>
  </si>
  <si>
    <t>Belastingvoordeel werknemer: Wie (on)betaald ouderschapsverlof opneemt, krijgt een fiscaal voordeel van</t>
  </si>
  <si>
    <t>Twee aanloopschalen bij ID1 zijn achterwege gelaten (minder relevant en onnodig complicerend voor de uitwerking in dit instrument).</t>
  </si>
  <si>
    <t>bij een normbetrekking, per maand</t>
  </si>
  <si>
    <t>poraad</t>
  </si>
  <si>
    <t xml:space="preserve">Het bruto-netto traject geeft de informatie over de omvang van het bijdrage-inkomen (voorheen coördinatieloon) waarover </t>
  </si>
  <si>
    <t>Voor nadere informatie:</t>
  </si>
  <si>
    <t xml:space="preserve">In individuele gevallen zal er nog sprake zijn van loonkosten die hier niet zijn opgenomen. Bijvoorbeeld reiskosten, een </t>
  </si>
  <si>
    <t>jubileumuitkering of spaarloon. Dergelijke componenten zijn in dit model niet verwerkt.</t>
  </si>
  <si>
    <t>www.poraad.nl</t>
  </si>
  <si>
    <t>Netto kosten werkgever Inclusief (incl. werkgeverslasten)</t>
  </si>
  <si>
    <t>Kosten ouderschapsverlof BESTUUR</t>
  </si>
  <si>
    <t xml:space="preserve">KOSTEN EN BATEN BETAALD OUDERSCHAPSVERLOF </t>
  </si>
  <si>
    <r>
      <t xml:space="preserve">Werktijdfactor: </t>
    </r>
    <r>
      <rPr>
        <sz val="11"/>
        <rFont val="Calibri"/>
        <family val="2"/>
      </rPr>
      <t>gewijzigd in nieuwe functie</t>
    </r>
  </si>
  <si>
    <t>Kosten totaal (tot pensioen/uittreden)</t>
  </si>
  <si>
    <t xml:space="preserve">Kosten wijziging bestaande functie in andere </t>
  </si>
  <si>
    <t>EXTRA PERIODIEKEN</t>
  </si>
  <si>
    <t>Basisgegevens</t>
  </si>
  <si>
    <t>incl. afdracht loonbel. en premie</t>
  </si>
  <si>
    <t>opgave OCW 2001 (CBS: 1,6)</t>
  </si>
  <si>
    <t>per opgenomen verlofuur. Deelname aan de levensloopregeling is niet langer nodig. Daarnaast geldt een levensloopverlof-</t>
  </si>
  <si>
    <t xml:space="preserve">korting die gelijk is aan het opgenomen bedrag met een maximum van </t>
  </si>
  <si>
    <t>kalenderjaar</t>
  </si>
  <si>
    <t>schooljaar</t>
  </si>
  <si>
    <t xml:space="preserve">KOSTEN WIJZIGING BESTAANDE FUNCTIE </t>
  </si>
  <si>
    <t>Alleen de gele velden kunnen worden gewijzigd, en bevatten de op te geven variabelen voor de berekeningen.</t>
  </si>
  <si>
    <t xml:space="preserve">Ter nadere info: </t>
  </si>
  <si>
    <t>Geboortedatum</t>
  </si>
  <si>
    <t>WTF</t>
  </si>
  <si>
    <t xml:space="preserve">ten opzichte van het bruto salaris. Op die wijze kan het als kengetal worden gehanteerd bij de vaststelling van de totale loonkosten </t>
  </si>
  <si>
    <t xml:space="preserve">alle loonlasten enerzijds en de bruto salarissen anderzijds van het laatste school- resp. kalenderjaar. </t>
  </si>
  <si>
    <t>Aangevuld met de laatste ramingen omtrent de ontwikkelingen van de diverse werkgeverslasten zoals premies e.d.</t>
  </si>
  <si>
    <t>wordt weergegeven, met gebruikmaking van alleen de witte tabel voor de loonbelasting.</t>
  </si>
  <si>
    <t>Door dit te relateren aan het bruto salaris van die werknemer wordt het opslagpercentage verkregen.</t>
  </si>
  <si>
    <t>vanaf 1 jan. 2011</t>
  </si>
  <si>
    <t xml:space="preserve">Echter de pensioenpremies en de premies van het VF/PF wijzigen momenteel vaker, waardoor de berekening dan een </t>
  </si>
  <si>
    <t>Functie</t>
  </si>
  <si>
    <t>toe(s)lagen</t>
  </si>
  <si>
    <t>OOP &lt;S9</t>
  </si>
  <si>
    <t>(1)</t>
  </si>
  <si>
    <t>(2)</t>
  </si>
  <si>
    <t>(3)</t>
  </si>
  <si>
    <t>(4)</t>
  </si>
  <si>
    <t>Overgangspremie VPL</t>
  </si>
  <si>
    <t>Jaarinkomen</t>
  </si>
  <si>
    <t>besl.regel</t>
  </si>
  <si>
    <t xml:space="preserve">compensatie </t>
  </si>
  <si>
    <t>eindejrs. uitk. OOP</t>
  </si>
  <si>
    <t>eindejrs. uitk.</t>
  </si>
  <si>
    <t>vakantieuitk.</t>
  </si>
  <si>
    <t>datum</t>
  </si>
  <si>
    <t>schaal-uitloop bedr.</t>
  </si>
  <si>
    <t>inschaling</t>
  </si>
  <si>
    <t xml:space="preserve">toelage </t>
  </si>
  <si>
    <t>directeuren</t>
  </si>
  <si>
    <t>Loon voor de</t>
  </si>
  <si>
    <t xml:space="preserve"> loonbelasting</t>
  </si>
  <si>
    <t>premie</t>
  </si>
  <si>
    <t xml:space="preserve">kosten </t>
  </si>
  <si>
    <t>levensloop</t>
  </si>
  <si>
    <t xml:space="preserve">Jaarinkomen </t>
  </si>
  <si>
    <t>ABP</t>
  </si>
  <si>
    <t>jaar</t>
  </si>
  <si>
    <t>norm</t>
  </si>
  <si>
    <t xml:space="preserve"> mnd.sal.</t>
  </si>
  <si>
    <t>salarisgegevens</t>
  </si>
  <si>
    <t>uitloop</t>
  </si>
  <si>
    <t>toeslag</t>
  </si>
  <si>
    <t>vakantie</t>
  </si>
  <si>
    <t>uitk.</t>
  </si>
  <si>
    <t xml:space="preserve">eindejrs. </t>
  </si>
  <si>
    <t>uitk. OOP</t>
  </si>
  <si>
    <t xml:space="preserve">uitlooptoesl. </t>
  </si>
  <si>
    <t>eigen beleid</t>
  </si>
  <si>
    <t>ZVW premie werkgever</t>
  </si>
  <si>
    <t xml:space="preserve">ZVW premie </t>
  </si>
  <si>
    <t>In het werkblad Werkgeverslasten zijn er vier keuzes voor de bepaling van het premiepercentage VF dat van toepassing is!</t>
  </si>
  <si>
    <r>
      <t xml:space="preserve">Omdat de premies aangepast worden per 1 januari hebben de berekeningen Werkgeverslasten betrekking op het </t>
    </r>
    <r>
      <rPr>
        <b/>
        <sz val="10"/>
        <rFont val="Calibri"/>
        <family val="2"/>
      </rPr>
      <t>kalenderjaar</t>
    </r>
    <r>
      <rPr>
        <sz val="10"/>
        <rFont val="Calibri"/>
        <family val="2"/>
      </rPr>
      <t>.</t>
    </r>
  </si>
  <si>
    <t>Werkblad Werkgeverslasten</t>
  </si>
  <si>
    <t xml:space="preserve">Dit programmaonderdeel heeft niet de pretentie een exacte salarisberekening te maken! Zo wordt ook de vakantieuitkering en de </t>
  </si>
  <si>
    <t>Ook zijn niet alle mogelijke heffingskortingen meegenomen.</t>
  </si>
  <si>
    <t>Gedifferentieerde premie WGA wordt gedifferentieerde premie Whk</t>
  </si>
  <si>
    <t xml:space="preserve">De belastingdienst stelt de gedifferentieerde premie WGA per werkgever vast. De premie is afhankelijk van het arbeidsongeschiktheidsrisico </t>
  </si>
  <si>
    <t>daarvan te complex wordt voor dit instrument laten we deze premiebetaling buiten beschouwing.</t>
  </si>
  <si>
    <t xml:space="preserve">De gedifferentieerde premie WGA wordt nu de gedifferentieerde premie Werkhervattingskas waarbij de premie voor de vaste dienstbetrekkingen </t>
  </si>
  <si>
    <t xml:space="preserve">Voor het vaststellen van het percentage is van belang of er sprake is van een grote, een middelgrote of kleine werkgever. Voor kleine werkgevers </t>
  </si>
  <si>
    <t>de premie vastgesteld als een gewogen gemiddelde van de sectorale en de individuele premie.</t>
  </si>
  <si>
    <t xml:space="preserve">Op grond van het bruto salaris per maand wordt het jaarinkomen berekend. </t>
  </si>
  <si>
    <t>Het jaarinkomen ABP wordt bepaald op basis van de situatie in januari van het betreffende jaar.</t>
  </si>
  <si>
    <t>de sociale premies berekend moeten worden.</t>
  </si>
  <si>
    <t xml:space="preserve">Ten opzichte van het jaarinkomen wordt dat in een percentage omgerekend, maar belangrijker: ook in een opslagpercentage </t>
  </si>
  <si>
    <t>helpdesk@poraad.nl</t>
  </si>
  <si>
    <t>De gegevens omtrent de grondslag van uitkeringen e.d. zijn ontleend aan de Internetpublicaties van de Belastingdienst, ABP, UWV en OCW, en</t>
  </si>
  <si>
    <t>FPU (VUT/FPU basis)</t>
  </si>
  <si>
    <t>WAO/WIA-basispremie (AOF, incl. KO)</t>
  </si>
  <si>
    <t>UFO-premie</t>
  </si>
  <si>
    <t xml:space="preserve">Ingevuld is de premie voor kleine werkgevers. Voor middelgrote en grote werkgevers dient u zelf de percentages in te vullen die u van de </t>
  </si>
  <si>
    <t>Belastingdienst krijgt toegestuurd.</t>
  </si>
  <si>
    <t>datum nu</t>
  </si>
  <si>
    <t>te geven in de opbouw daarvan. Als zodanig is het een hulpmiddel voor het management bij het ramen van de personele kosten.</t>
  </si>
  <si>
    <t>Whk-gediferentieerd</t>
  </si>
  <si>
    <t>aangeduid wordt als het premiedeel Whk-gedifferentieerd. Daarnaast zijn er premies voor de flexibele dienstbetrekkingen.</t>
  </si>
  <si>
    <t>Premie Whk-gedifferentieerd</t>
  </si>
  <si>
    <t xml:space="preserve">zijn de gedifferentieerde premies per sector vastgesteld. Voor grote werkgevers gebeurt dat individueel. Voor middelgrote werkgevers wordt </t>
  </si>
  <si>
    <r>
      <t xml:space="preserve">in de werkorganisatie. Per 1 januari 2014 moet nu ook een gedifferentieerde premie betaald worden voor </t>
    </r>
    <r>
      <rPr>
        <b/>
        <sz val="10"/>
        <rFont val="Calibri"/>
        <family val="2"/>
      </rPr>
      <t>flexwerkers</t>
    </r>
    <r>
      <rPr>
        <sz val="10"/>
        <rFont val="Calibri"/>
        <family val="2"/>
      </rPr>
      <t xml:space="preserve">. Omdat verwerking </t>
    </r>
  </si>
  <si>
    <t>Doelgroep Eigen RisicoDrager (ERD)</t>
  </si>
  <si>
    <t>ERD WD14</t>
  </si>
  <si>
    <t>ERD WD42</t>
  </si>
  <si>
    <t>ERD SL80</t>
  </si>
  <si>
    <t>ERD SL100</t>
  </si>
  <si>
    <t>Volledig ERD</t>
  </si>
  <si>
    <t>VF: ERD</t>
  </si>
  <si>
    <t xml:space="preserve">Bij het VF geldt de mogelijkheid om EigenRisicoDrager (ERD) te zijn. Daarbij gelden enkele varianten: </t>
  </si>
  <si>
    <t>Volledig ERD:</t>
  </si>
  <si>
    <t>ERD WD14:</t>
  </si>
  <si>
    <t>ERD WD42:</t>
  </si>
  <si>
    <t>ERD SL80:</t>
  </si>
  <si>
    <t>ERD SL100:</t>
  </si>
  <si>
    <t xml:space="preserve"> (14 wachtdagen)</t>
  </si>
  <si>
    <t xml:space="preserve"> (42 wachtdagen)</t>
  </si>
  <si>
    <t xml:space="preserve"> (Stop Los 80)</t>
  </si>
  <si>
    <t xml:space="preserve"> (Stop Los 100)</t>
  </si>
  <si>
    <r>
      <t xml:space="preserve">De keuze van eigen risicodragerschap is </t>
    </r>
    <r>
      <rPr>
        <b/>
        <sz val="10"/>
        <rFont val="Calibri"/>
        <family val="2"/>
      </rPr>
      <t>verbreed</t>
    </r>
    <r>
      <rPr>
        <sz val="10"/>
        <rFont val="Calibri"/>
        <family val="2"/>
      </rPr>
      <t xml:space="preserve"> voor ook samenwerkingsverbanden van besturen.</t>
    </r>
  </si>
  <si>
    <t xml:space="preserve">De aanpassingen als gevolg van het actieplan LeerKracht zijn volledig verwerkt. Dat betreft de structurele nominale </t>
  </si>
  <si>
    <t>In 2015 zijn enkele wijzigingen in de premievaststelling aan de orde geweest.</t>
  </si>
  <si>
    <r>
      <t xml:space="preserve">bijgestelde versie van dit instrument vergt. In die gevallen komt er dus een </t>
    </r>
    <r>
      <rPr>
        <b/>
        <sz val="10"/>
        <rFont val="Calibri"/>
        <family val="2"/>
      </rPr>
      <t>bijgestelde versie</t>
    </r>
    <r>
      <rPr>
        <sz val="10"/>
        <rFont val="Calibri"/>
        <family val="2"/>
      </rPr>
      <t>.</t>
    </r>
  </si>
  <si>
    <t xml:space="preserve">Door in werkblad 'wgl' te varieren naar omvang werktijdfactor, per schaal en in een schaal wat betreft de inschaling naar regel van laag naar </t>
  </si>
  <si>
    <t xml:space="preserve">hoog verkrijgt men inzicht in het percentage wat voor die betreffende schaal van toepassing is. Dat is van belang voor het financieel </t>
  </si>
  <si>
    <t xml:space="preserve">voor een werkgever. </t>
  </si>
  <si>
    <t>Bijdrage-inkomen</t>
  </si>
  <si>
    <t>ZVW premie</t>
  </si>
  <si>
    <t>https://zoek.officielebekendmakingen.nl/stcrt-2017-49381.html</t>
  </si>
  <si>
    <t>https://www.salarisnet.nl/2017/09/inkomensafhankelijke-bijdrage-zorgverzekeringswet-stijgt-in-2018/</t>
  </si>
  <si>
    <t>https://www.abp.nl/images/24.0006.18_premietabel_2018.pdf</t>
  </si>
  <si>
    <t>idem</t>
  </si>
  <si>
    <t>https://www.participatiefonds.nl/artikelen/2017/premie-1-1-2018.html</t>
  </si>
  <si>
    <t>https://www.vervangingsfonds.nl/over-ons/nieuws/actueel/premies-per-1-januari-2018-definitief-vastgesteld</t>
  </si>
  <si>
    <t>meer info</t>
  </si>
  <si>
    <t>https://www.salarisnet.nl/2017/11/premies-werknemers-en-volksverzekeringen-2018/</t>
  </si>
  <si>
    <t>nog niet van toepassing</t>
  </si>
  <si>
    <t>http://belastingschijven.net/belastingschijven-2018/</t>
  </si>
  <si>
    <t>BRUTO-NETTO TRAJECT WERKNEMER (indicatief)</t>
  </si>
  <si>
    <t>BASISGEGEVENS</t>
  </si>
  <si>
    <t>Nettosalaris (indicatief)</t>
  </si>
  <si>
    <t>Belastingen 2018</t>
  </si>
  <si>
    <t>Tarieven, bedragen en percentages vanaf 1 januari 2018</t>
  </si>
  <si>
    <t>2018/2019</t>
  </si>
  <si>
    <t>L10</t>
  </si>
  <si>
    <t>L11</t>
  </si>
  <si>
    <t>L12</t>
  </si>
  <si>
    <t>L13</t>
  </si>
  <si>
    <t>L14</t>
  </si>
  <si>
    <t xml:space="preserve">de CAO PO 2018-2019. </t>
  </si>
  <si>
    <t>Ook het schaal-uitloopbedrag, de bindingstoelage en de compensatie ziektekosten (inkomenstoelage) zijn nu in de salarisschalen verwerkt.</t>
  </si>
  <si>
    <t>De compensatie ziektekosten (inkomenstoelage) voor het OOP blijft echter wel van kracht.</t>
  </si>
  <si>
    <t>Bindingstoelage, compensatie ziektekosten (inkomenstoelage) en schaal-uitlooptoeslag</t>
  </si>
  <si>
    <t>Deze toe(s)lagen zijn geïncorporeerd in de cao 2017-2018. De compensatie ziektekosten blijft echter gelden voor het OOP.</t>
  </si>
  <si>
    <t xml:space="preserve">uitkering van € 200 en de toelage directeuren. Het schaal-uitloopbedrag is verwerkt in de nieuwe schalen van de cao 2017-2018. </t>
  </si>
  <si>
    <t>OOP</t>
  </si>
  <si>
    <t>Deze toeslag voor een leraar wordt toegekend op basis van artikel 6.13 van de CAO PO.</t>
  </si>
  <si>
    <t>VF: geen aansluiting</t>
  </si>
  <si>
    <t>van toepassing vanaf 1 januari 2019</t>
  </si>
  <si>
    <t xml:space="preserve">De salaristabellen zijn de tabellen van de nieuwe cao po 2018/2019 die per 1 -1-2019 gelden. De algemene premies zijn nog van toepassing vanaf </t>
  </si>
  <si>
    <t>1 januari 2018. Zodra de premies vanaf 1 januari 2019 bekend zijn verschijnt een update van deze versie.</t>
  </si>
  <si>
    <t xml:space="preserve">Een versie voor 2018 is niet eenvoudig te maken omdat de salaristabellen per 1 sept. 2018 ingrijpend bijgesteld zijn en een jaarbeeld dan een </t>
  </si>
  <si>
    <t xml:space="preserve">Daarom is er voor gekozen om de WG-lasten van 2019 nu reeds weer te geven en het zo mogelijk te maken een beeld te krijgen van de WG-lasten </t>
  </si>
  <si>
    <t>van het personeel met het oog op de meerjarenraming.</t>
  </si>
  <si>
    <t xml:space="preserve"> vanaf 1 januari</t>
  </si>
  <si>
    <r>
      <t xml:space="preserve">Dit werkblad bevat relevante tabellen, conform de gegevens zoals die vanaf </t>
    </r>
    <r>
      <rPr>
        <b/>
        <sz val="10"/>
        <color rgb="FFFF0000"/>
        <rFont val="Calibri"/>
        <family val="2"/>
      </rPr>
      <t xml:space="preserve">1 januari 2019 </t>
    </r>
    <r>
      <rPr>
        <sz val="10"/>
        <rFont val="Calibri"/>
        <family val="2"/>
      </rPr>
      <t>gelden, dan wel in de update hiervan gaan gelden.</t>
    </r>
  </si>
  <si>
    <t>uitlooptoeslag leraar</t>
  </si>
  <si>
    <t>Eenmalige nominale uitkering wn</t>
  </si>
  <si>
    <t>Eenmalige nominale uitkering leraar</t>
  </si>
  <si>
    <t>geb.dat</t>
  </si>
  <si>
    <t>Struct nomi</t>
  </si>
  <si>
    <t>nale uitker.</t>
  </si>
  <si>
    <t>naam</t>
  </si>
  <si>
    <t xml:space="preserve">uitl.toesl. </t>
  </si>
  <si>
    <t xml:space="preserve">eindejaarsuitkering per maand berekend. Het beoogt alleen een indicatie te geven van de omvang van de werkgeverspercentage en enig inzicht </t>
  </si>
  <si>
    <t>Het wordt met klem aangeraden om zelf een berekening van de werkgeverspercentages te maken op basis van de verhouding tussen</t>
  </si>
  <si>
    <t>management. Op die wijze is het immers mogelijk om redelijk nauwkeurig de totale loonkosten te ramen van een werknemer.</t>
  </si>
  <si>
    <t>basis</t>
  </si>
  <si>
    <t>VUT/FPU</t>
  </si>
  <si>
    <t>Totale loonkosten euro</t>
  </si>
  <si>
    <t>besl. regel</t>
  </si>
  <si>
    <t>toelage direct.</t>
  </si>
  <si>
    <t>FPU basis</t>
  </si>
  <si>
    <t>Totaal pens.</t>
  </si>
  <si>
    <t>Bijdrage-ink.</t>
  </si>
  <si>
    <t xml:space="preserve">ZVW vergoed. </t>
  </si>
  <si>
    <t>ziektekn. OOP</t>
  </si>
  <si>
    <t>premie Vervaningsfonds (Vf)</t>
  </si>
  <si>
    <t>premie Participatiefonds (Pf)</t>
  </si>
  <si>
    <t>compensatie ziektekosten OOP</t>
  </si>
  <si>
    <t>structurele nominale uitkering (op dag van de leraar)</t>
  </si>
  <si>
    <t>totale loonkosten (excl. overige) t.o.v. kosten gerelateerd aan inkomen werkn.</t>
  </si>
  <si>
    <t>Totaal salaris en overige looncomponenten</t>
  </si>
  <si>
    <t>totaal werkgeverslasten</t>
  </si>
  <si>
    <t>datumnu</t>
  </si>
  <si>
    <t>Premies pensioen- en werknemersverzekeringen</t>
  </si>
  <si>
    <t>Overige werkgeverslasten</t>
  </si>
  <si>
    <t>totaal overige looncomponenten</t>
  </si>
  <si>
    <t>totale loonkosten t.o.v. salaris en overige looncomponenten</t>
  </si>
  <si>
    <t>loonheffing: schijf 1</t>
  </si>
  <si>
    <t>loonheffing: schijf 4</t>
  </si>
  <si>
    <t>loonheffing: schijf 3</t>
  </si>
  <si>
    <t>loonheffing: schijf 2</t>
  </si>
  <si>
    <t>A. SALARIS</t>
  </si>
  <si>
    <t>B. OVERIGE LOONCOMPONENTEN</t>
  </si>
  <si>
    <t>C. WERKGEVERSLASTEN</t>
  </si>
  <si>
    <t>Pensioenpremies werknemer</t>
  </si>
  <si>
    <t>minus: Pensioenpremies werknemer</t>
  </si>
  <si>
    <t>bijdrage -inkomen</t>
  </si>
  <si>
    <t xml:space="preserve">loonkn t.o.v. </t>
  </si>
  <si>
    <t>looncompon</t>
  </si>
  <si>
    <t>n</t>
  </si>
  <si>
    <t>sal.en overige</t>
  </si>
  <si>
    <t>bruto-sal</t>
  </si>
  <si>
    <t>alle looncomp</t>
  </si>
  <si>
    <t>wtf*mnd.sal.</t>
  </si>
  <si>
    <t>bruto-salaris</t>
  </si>
  <si>
    <t>excl overige wergeverslasten)</t>
  </si>
  <si>
    <t>werkeverslasten t.o.v. salaris en overige looncomponenten</t>
  </si>
  <si>
    <t>D. Totale loonkosten</t>
  </si>
  <si>
    <r>
      <rPr>
        <i/>
        <u/>
        <sz val="10"/>
        <rFont val="Calibri"/>
        <family val="2"/>
      </rPr>
      <t>Van</t>
    </r>
    <r>
      <rPr>
        <i/>
        <sz val="10"/>
        <rFont val="Calibri"/>
        <family val="2"/>
      </rPr>
      <t xml:space="preserve"> bruto-salaris (A), </t>
    </r>
    <r>
      <rPr>
        <i/>
        <u/>
        <sz val="10"/>
        <rFont val="Calibri"/>
        <family val="2"/>
      </rPr>
      <t>naar</t>
    </r>
    <r>
      <rPr>
        <i/>
        <sz val="10"/>
        <rFont val="Calibri"/>
        <family val="2"/>
      </rPr>
      <t xml:space="preserve"> totaal salaris en overige looncomponenten (B)</t>
    </r>
  </si>
  <si>
    <r>
      <rPr>
        <i/>
        <u/>
        <sz val="10"/>
        <rFont val="Calibri"/>
        <family val="2"/>
      </rPr>
      <t>Van</t>
    </r>
    <r>
      <rPr>
        <i/>
        <sz val="10"/>
        <rFont val="Calibri"/>
        <family val="2"/>
      </rPr>
      <t xml:space="preserve"> salaris en overige looncomponenten (B), </t>
    </r>
    <r>
      <rPr>
        <i/>
        <u/>
        <sz val="10"/>
        <rFont val="Calibri"/>
        <family val="2"/>
      </rPr>
      <t>naar</t>
    </r>
    <r>
      <rPr>
        <i/>
        <sz val="10"/>
        <rFont val="Calibri"/>
        <family val="2"/>
      </rPr>
      <t xml:space="preserve"> totale loonkosten (D)</t>
    </r>
  </si>
  <si>
    <r>
      <rPr>
        <i/>
        <u/>
        <sz val="10"/>
        <rFont val="Calibri"/>
        <family val="2"/>
      </rPr>
      <t>Van</t>
    </r>
    <r>
      <rPr>
        <i/>
        <sz val="10"/>
        <rFont val="Calibri"/>
        <family val="2"/>
      </rPr>
      <t xml:space="preserve"> bruto-salaris (A), </t>
    </r>
    <r>
      <rPr>
        <i/>
        <u/>
        <sz val="10"/>
        <rFont val="Calibri"/>
        <family val="2"/>
      </rPr>
      <t>naar</t>
    </r>
    <r>
      <rPr>
        <i/>
        <sz val="10"/>
        <rFont val="Calibri"/>
        <family val="2"/>
      </rPr>
      <t xml:space="preserve"> totale loonkosten (D)</t>
    </r>
  </si>
  <si>
    <t>Totaal bruto-salaris (wtf x maandsalaris)</t>
  </si>
  <si>
    <t>j</t>
  </si>
  <si>
    <t>heel complexe samenstelling vergt. Temeer omdat er in 2018 sprake is van meerdere éénmalige toekenningen die het beeld ook vertekenen.</t>
  </si>
  <si>
    <r>
      <t xml:space="preserve">De premie van het PF per 1-1-2018 is </t>
    </r>
    <r>
      <rPr>
        <b/>
        <sz val="10"/>
        <rFont val="Calibri"/>
        <family val="2"/>
      </rPr>
      <t>5,25%.</t>
    </r>
  </si>
  <si>
    <t xml:space="preserve">In dit werkblad wordt het werkgeverspercentage berekend als percentage van de totale loonkosten t.o.v. het brutosalaris van een werknemer </t>
  </si>
  <si>
    <t>in het PO. Invoering van de gegevens per werknemer geeft de berekening van dit werkgeverspercentage.</t>
  </si>
  <si>
    <t>Werkblad Werkgeverslasten totaal (wgl tot)</t>
  </si>
  <si>
    <t>In de cao 2018-2019 is een belangrijke verandering doorgevoerd doordat tal van toelagen nu ondergebracht zijn in de salarisschalen.</t>
  </si>
  <si>
    <t>Het schaal-uitloopbedrag, de bindingstoelage en de compensatie ziektekosten (inkomenstoelage) zijn nu in de salarisschalen verwerkt.</t>
  </si>
  <si>
    <t xml:space="preserve">Dit heeft tot gevolg dat het Werkgeverspercentage (= totale loonkosten t.o.v. bruto salaris) een forse verlaging ondergaat. </t>
  </si>
  <si>
    <t>Tegelijkertijd constateren we dat de premie van het VF sterk afhankelijk is van de keuze die gemaakt is omtrent het Eigen RisicoDragerschap (ERD).</t>
  </si>
  <si>
    <t xml:space="preserve">Ook zien we dat er in veel gevallen sprake is van eigen beleid bij het toekennen van extra vergoedingen. Denk hierbij aan reis- en verblijfkosten, </t>
  </si>
  <si>
    <t xml:space="preserve">een eventuele parkeervergoeding, EHBO- of telefoontoelage, eigen risico VF: vervangingskosten etc. en vanaf 1 jan. 2015 ook het </t>
  </si>
  <si>
    <t>rechtspositioneel verlof.</t>
  </si>
  <si>
    <t>Dit maakt het niet goed meer mogelijk om te werken met een algemeen geldend percentage voor de werkgeverslasten t.o.v. het salaris.</t>
  </si>
  <si>
    <t xml:space="preserve">Door alle werknemers in te voeren in werkblad 'wgl tot' verkrijgt men wel het juiste percentage WG-lasten voor alle personeelsleden en daarmee </t>
  </si>
  <si>
    <t>ook het percentage WG-lasten dat voor deze werkgever van toepassing is en dus gebruikt moet worden in de meerjarenbegroting.</t>
  </si>
  <si>
    <t>In de instrumenten MJB verwijzen we daarom ook nadrukkelijk naar dit instrument om het juiste percentage vast te stellen.</t>
  </si>
  <si>
    <t>Voor het overige verwijzen we naar de toelichting in het voorgaande werkblad.</t>
  </si>
  <si>
    <t>raming opslagpercentage</t>
  </si>
  <si>
    <t>raming opslagpercentage werkgever</t>
  </si>
  <si>
    <t>WGA-Premies</t>
  </si>
  <si>
    <t>Opslag loonkosten t.o.v. bruto-salaris</t>
  </si>
  <si>
    <t>Opslag Werkgeverspercentage: totale loonkosten t.o.v. bruto salaris</t>
  </si>
  <si>
    <t>Dit percentage voor alle werknemers wordt weergegeven in cel O4 van dit werkblad.</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</si>
</sst>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64" formatCode="&quot;€&quot;\ #,##0_-;[Red]&quot;€&quot;\ #,##0\-"/>
    <numFmt numFmtId="165" formatCode="_-&quot;€&quot;\ * #,##0_-;_-&quot;€&quot;\ * #,##0\-;_-&quot;€&quot;\ * &quot;-&quot;_-;_-@_-"/>
    <numFmt numFmtId="166" formatCode="_-&quot;€&quot;\ * #,##0.00_-;_-&quot;€&quot;\ * #,##0.00\-;_-&quot;€&quot;\ * &quot;-&quot;??_-;_-@_-"/>
    <numFmt numFmtId="167" formatCode="&quot;€&quot;\ #,##0.00_);[Red]\(&quot;€&quot;\ #,##0.00\)"/>
    <numFmt numFmtId="168" formatCode="_(&quot;€&quot;\ * #,##0_);_(&quot;€&quot;\ * \(#,##0\);_(&quot;€&quot;\ * &quot;-&quot;_);_(@_)"/>
    <numFmt numFmtId="169" formatCode="_-&quot;fl&quot;\ * #,##0.00_-;_-&quot;fl&quot;\ * #,##0.00\-;_-&quot;fl&quot;\ * &quot;-&quot;??_-;_-@_-"/>
    <numFmt numFmtId="170" formatCode="0.0000"/>
    <numFmt numFmtId="171" formatCode="0.000%"/>
    <numFmt numFmtId="172" formatCode="#,##0.00_ ;[Red]\-#,##0.00\ "/>
    <numFmt numFmtId="173" formatCode="0.0%"/>
    <numFmt numFmtId="174" formatCode="#,##0.0000_ ;\-#,##0.0000\ "/>
    <numFmt numFmtId="175" formatCode="#,##0_-"/>
    <numFmt numFmtId="176" formatCode="_-&quot;€&quot;\ * #,##0_-;_-&quot;€&quot;\ * #,##0\-;_-&quot;€&quot;\ * &quot;-&quot;??_-;_-@_-"/>
    <numFmt numFmtId="177" formatCode="0_ ;\-0\ "/>
    <numFmt numFmtId="178" formatCode="_ [$€-413]\ * #,##0.00_ ;_ [$€-413]\ * \-#,##0.00_ ;_ [$€-413]\ * &quot;-&quot;??_ ;_ @_ "/>
    <numFmt numFmtId="179" formatCode="d\ mmmm\ yyyy"/>
    <numFmt numFmtId="180" formatCode="_ &quot;€&quot;\ * #,##0_ ;_ &quot;€&quot;\ * \-#,##0_ ;_ &quot;€&quot;\ * &quot;-&quot;??_ ;_ @_ "/>
    <numFmt numFmtId="181" formatCode="0.0"/>
    <numFmt numFmtId="182" formatCode="0.000"/>
  </numFmts>
  <fonts count="119" x14ac:knownFonts="1">
    <font>
      <sz val="10"/>
      <name val="Arial"/>
    </font>
    <font>
      <sz val="10"/>
      <name val="Arial"/>
      <family val="2"/>
    </font>
    <font>
      <u/>
      <sz val="10"/>
      <color indexed="12"/>
      <name val="Arial"/>
      <family val="2"/>
    </font>
    <font>
      <sz val="10"/>
      <color indexed="81"/>
      <name val="Tahoma"/>
      <family val="2"/>
    </font>
    <font>
      <sz val="9"/>
      <color indexed="81"/>
      <name val="Tahoma"/>
      <family val="2"/>
    </font>
    <font>
      <sz val="8"/>
      <color indexed="81"/>
      <name val="Tahoma"/>
      <family val="2"/>
    </font>
    <font>
      <sz val="8"/>
      <name val="Arial"/>
      <family val="2"/>
    </font>
    <font>
      <sz val="11"/>
      <name val="Calibri"/>
      <family val="2"/>
    </font>
    <font>
      <sz val="10"/>
      <name val="Calibri"/>
      <family val="2"/>
    </font>
    <font>
      <b/>
      <sz val="10"/>
      <name val="Calibri"/>
      <family val="2"/>
    </font>
    <font>
      <b/>
      <i/>
      <sz val="10"/>
      <name val="Calibri"/>
      <family val="2"/>
    </font>
    <font>
      <sz val="11"/>
      <color indexed="8"/>
      <name val="Calibri"/>
      <family val="2"/>
    </font>
    <font>
      <sz val="11"/>
      <color indexed="9"/>
      <name val="Calibri"/>
      <family val="2"/>
    </font>
    <font>
      <b/>
      <sz val="11"/>
      <color indexed="9"/>
      <name val="Calibri"/>
      <family val="2"/>
    </font>
    <font>
      <b/>
      <sz val="11"/>
      <color indexed="8"/>
      <name val="Calibri"/>
      <family val="2"/>
    </font>
    <font>
      <sz val="11"/>
      <name val="Calibri"/>
      <family val="2"/>
    </font>
    <font>
      <b/>
      <sz val="11"/>
      <name val="Calibri"/>
      <family val="2"/>
    </font>
    <font>
      <sz val="11"/>
      <color indexed="10"/>
      <name val="Calibri"/>
      <family val="2"/>
    </font>
    <font>
      <b/>
      <sz val="11"/>
      <color indexed="10"/>
      <name val="Calibri"/>
      <family val="2"/>
    </font>
    <font>
      <i/>
      <sz val="11"/>
      <name val="Calibri"/>
      <family val="2"/>
    </font>
    <font>
      <b/>
      <sz val="12"/>
      <color indexed="9"/>
      <name val="Calibri"/>
      <family val="2"/>
    </font>
    <font>
      <i/>
      <sz val="11"/>
      <color indexed="10"/>
      <name val="Calibri"/>
      <family val="2"/>
    </font>
    <font>
      <i/>
      <sz val="11"/>
      <color indexed="23"/>
      <name val="Calibri"/>
      <family val="2"/>
    </font>
    <font>
      <sz val="10"/>
      <name val="Calibri"/>
      <family val="2"/>
    </font>
    <font>
      <b/>
      <sz val="10"/>
      <name val="Calibri"/>
      <family val="2"/>
    </font>
    <font>
      <b/>
      <i/>
      <sz val="11"/>
      <color indexed="10"/>
      <name val="Calibri"/>
      <family val="2"/>
    </font>
    <font>
      <sz val="11"/>
      <color indexed="10"/>
      <name val="Calibri"/>
      <family val="2"/>
    </font>
    <font>
      <b/>
      <i/>
      <sz val="11"/>
      <color indexed="23"/>
      <name val="Calibri"/>
      <family val="2"/>
    </font>
    <font>
      <sz val="11"/>
      <color indexed="23"/>
      <name val="Calibri"/>
      <family val="2"/>
    </font>
    <font>
      <i/>
      <sz val="12"/>
      <name val="Calibri"/>
      <family val="2"/>
    </font>
    <font>
      <b/>
      <sz val="14"/>
      <color indexed="10"/>
      <name val="Calibri"/>
      <family val="2"/>
    </font>
    <font>
      <sz val="14"/>
      <color indexed="10"/>
      <name val="Calibri"/>
      <family val="2"/>
    </font>
    <font>
      <b/>
      <sz val="10"/>
      <color indexed="10"/>
      <name val="Calibri"/>
      <family val="2"/>
    </font>
    <font>
      <b/>
      <sz val="11"/>
      <color indexed="23"/>
      <name val="Calibri"/>
      <family val="2"/>
    </font>
    <font>
      <sz val="10"/>
      <color indexed="10"/>
      <name val="Calibri"/>
      <family val="2"/>
    </font>
    <font>
      <i/>
      <sz val="10"/>
      <name val="Calibri"/>
      <family val="2"/>
    </font>
    <font>
      <u/>
      <sz val="10"/>
      <color indexed="12"/>
      <name val="Calibri"/>
      <family val="2"/>
    </font>
    <font>
      <b/>
      <i/>
      <sz val="11"/>
      <color indexed="8"/>
      <name val="Calibri"/>
      <family val="2"/>
    </font>
    <font>
      <b/>
      <sz val="14"/>
      <color indexed="8"/>
      <name val="Calibri"/>
      <family val="2"/>
    </font>
    <font>
      <i/>
      <sz val="11"/>
      <color indexed="8"/>
      <name val="Calibri"/>
      <family val="2"/>
    </font>
    <font>
      <sz val="11"/>
      <color indexed="22"/>
      <name val="Calibri"/>
      <family val="2"/>
    </font>
    <font>
      <b/>
      <i/>
      <sz val="12"/>
      <color indexed="55"/>
      <name val="Calibri"/>
      <family val="2"/>
    </font>
    <font>
      <sz val="11"/>
      <color indexed="55"/>
      <name val="Calibri"/>
      <family val="2"/>
    </font>
    <font>
      <sz val="10"/>
      <name val="Calibri"/>
      <family val="2"/>
    </font>
    <font>
      <sz val="10"/>
      <color indexed="10"/>
      <name val="Calibri"/>
      <family val="2"/>
    </font>
    <font>
      <sz val="10"/>
      <color indexed="22"/>
      <name val="Calibri"/>
      <family val="2"/>
    </font>
    <font>
      <sz val="10"/>
      <color indexed="8"/>
      <name val="Calibri"/>
      <family val="2"/>
    </font>
    <font>
      <sz val="11"/>
      <color indexed="9"/>
      <name val="Calibri"/>
      <family val="2"/>
    </font>
    <font>
      <b/>
      <sz val="10"/>
      <color indexed="60"/>
      <name val="Calibri"/>
      <family val="2"/>
    </font>
    <font>
      <sz val="10"/>
      <color indexed="60"/>
      <name val="Calibri"/>
      <family val="2"/>
    </font>
    <font>
      <sz val="10"/>
      <color indexed="22"/>
      <name val="Calibri"/>
      <family val="2"/>
    </font>
    <font>
      <i/>
      <sz val="10"/>
      <color indexed="22"/>
      <name val="Calibri"/>
      <family val="2"/>
    </font>
    <font>
      <sz val="14"/>
      <name val="Calibri"/>
      <family val="2"/>
    </font>
    <font>
      <i/>
      <sz val="14"/>
      <name val="Calibri"/>
      <family val="2"/>
    </font>
    <font>
      <sz val="14"/>
      <color indexed="10"/>
      <name val="Calibri"/>
      <family val="2"/>
    </font>
    <font>
      <sz val="12"/>
      <name val="Calibri"/>
      <family val="2"/>
    </font>
    <font>
      <b/>
      <sz val="12"/>
      <color indexed="60"/>
      <name val="Calibri"/>
      <family val="2"/>
    </font>
    <font>
      <sz val="14"/>
      <color indexed="60"/>
      <name val="Calibri"/>
      <family val="2"/>
    </font>
    <font>
      <sz val="11"/>
      <color indexed="81"/>
      <name val="Tahoma"/>
      <family val="2"/>
    </font>
    <font>
      <sz val="12"/>
      <name val="Calibri"/>
      <family val="2"/>
    </font>
    <font>
      <sz val="10"/>
      <color indexed="10"/>
      <name val="Calibri"/>
      <family val="2"/>
      <scheme val="minor"/>
    </font>
    <font>
      <sz val="14"/>
      <color indexed="10"/>
      <name val="Calibri"/>
      <family val="2"/>
      <scheme val="minor"/>
    </font>
    <font>
      <sz val="10"/>
      <name val="Calibri"/>
      <family val="2"/>
      <scheme val="minor"/>
    </font>
    <font>
      <sz val="10"/>
      <color indexed="8"/>
      <name val="Calibri"/>
      <family val="2"/>
      <scheme val="minor"/>
    </font>
    <font>
      <b/>
      <i/>
      <sz val="10"/>
      <name val="Calibri"/>
      <family val="2"/>
      <scheme val="minor"/>
    </font>
    <font>
      <u/>
      <sz val="10"/>
      <color indexed="12"/>
      <name val="Calibri"/>
      <family val="2"/>
      <scheme val="minor"/>
    </font>
    <font>
      <sz val="10"/>
      <color rgb="FFC00000"/>
      <name val="Calibri"/>
      <family val="2"/>
    </font>
    <font>
      <b/>
      <i/>
      <sz val="10"/>
      <color theme="5"/>
      <name val="Calibri"/>
      <family val="2"/>
    </font>
    <font>
      <sz val="10"/>
      <color theme="5"/>
      <name val="Calibri"/>
      <family val="2"/>
    </font>
    <font>
      <i/>
      <sz val="10"/>
      <color theme="0" tint="-0.249977111117893"/>
      <name val="Calibri"/>
      <family val="2"/>
    </font>
    <font>
      <i/>
      <sz val="12"/>
      <color indexed="8"/>
      <name val="Calibri"/>
      <family val="2"/>
    </font>
    <font>
      <b/>
      <sz val="10"/>
      <color rgb="FFFF0000"/>
      <name val="Calibri"/>
      <family val="2"/>
    </font>
    <font>
      <sz val="10"/>
      <color theme="1" tint="0.34998626667073579"/>
      <name val="Calibri"/>
      <family val="2"/>
    </font>
    <font>
      <i/>
      <sz val="10"/>
      <color theme="1" tint="0.34998626667073579"/>
      <name val="Calibri"/>
      <family val="2"/>
    </font>
    <font>
      <b/>
      <i/>
      <sz val="10"/>
      <color theme="1" tint="0.34998626667073579"/>
      <name val="Calibri"/>
      <family val="2"/>
    </font>
    <font>
      <b/>
      <sz val="10"/>
      <color theme="1" tint="0.34998626667073579"/>
      <name val="Calibri"/>
      <family val="2"/>
    </font>
    <font>
      <sz val="14"/>
      <color theme="1" tint="0.34998626667073579"/>
      <name val="Calibri"/>
      <family val="2"/>
    </font>
    <font>
      <sz val="14"/>
      <color rgb="FFC00000"/>
      <name val="Calibri"/>
      <family val="2"/>
    </font>
    <font>
      <sz val="10"/>
      <color theme="0" tint="-0.249977111117893"/>
      <name val="Calibri"/>
      <family val="2"/>
    </font>
    <font>
      <sz val="10"/>
      <color rgb="FF2B2B2B"/>
      <name val="Calibri"/>
      <family val="2"/>
      <scheme val="minor"/>
    </font>
    <font>
      <b/>
      <sz val="10"/>
      <name val="Calibri"/>
      <family val="2"/>
      <scheme val="minor"/>
    </font>
    <font>
      <sz val="10"/>
      <color indexed="55"/>
      <name val="Calibri"/>
      <family val="2"/>
      <scheme val="minor"/>
    </font>
    <font>
      <b/>
      <sz val="10"/>
      <color indexed="10"/>
      <name val="Calibri"/>
      <family val="2"/>
      <scheme val="minor"/>
    </font>
    <font>
      <sz val="10"/>
      <color theme="0" tint="-0.14999847407452621"/>
      <name val="Calibri"/>
      <family val="2"/>
      <scheme val="minor"/>
    </font>
    <font>
      <sz val="11"/>
      <color theme="0" tint="-0.249977111117893"/>
      <name val="Calibri"/>
      <family val="2"/>
    </font>
    <font>
      <b/>
      <sz val="10"/>
      <color rgb="FFC00000"/>
      <name val="Calibri"/>
      <family val="2"/>
    </font>
    <font>
      <b/>
      <sz val="10"/>
      <color indexed="8"/>
      <name val="Calibri"/>
      <family val="2"/>
    </font>
    <font>
      <sz val="10"/>
      <color rgb="FFFF0000"/>
      <name val="Calibri"/>
      <family val="2"/>
    </font>
    <font>
      <sz val="10"/>
      <color rgb="FFFF0000"/>
      <name val="Calibri"/>
      <family val="2"/>
      <scheme val="minor"/>
    </font>
    <font>
      <b/>
      <sz val="14"/>
      <color theme="5"/>
      <name val="Calibri"/>
      <family val="2"/>
    </font>
    <font>
      <b/>
      <sz val="9"/>
      <name val="Calibri"/>
      <family val="2"/>
    </font>
    <font>
      <sz val="9"/>
      <name val="Calibri"/>
      <family val="2"/>
    </font>
    <font>
      <i/>
      <sz val="9"/>
      <name val="Calibri"/>
      <family val="2"/>
    </font>
    <font>
      <i/>
      <sz val="10"/>
      <name val="Calibri"/>
      <family val="2"/>
      <scheme val="minor"/>
    </font>
    <font>
      <sz val="10"/>
      <color theme="1" tint="0.499984740745262"/>
      <name val="Calibri"/>
      <family val="2"/>
    </font>
    <font>
      <sz val="9"/>
      <color indexed="10"/>
      <name val="Calibri"/>
      <family val="2"/>
    </font>
    <font>
      <sz val="9"/>
      <color indexed="10"/>
      <name val="Calibri"/>
      <family val="2"/>
      <scheme val="minor"/>
    </font>
    <font>
      <sz val="9"/>
      <color theme="1" tint="0.34998626667073579"/>
      <name val="Calibri"/>
      <family val="2"/>
    </font>
    <font>
      <sz val="9"/>
      <color indexed="60"/>
      <name val="Calibri"/>
      <family val="2"/>
    </font>
    <font>
      <b/>
      <sz val="9"/>
      <color indexed="60"/>
      <name val="Calibri"/>
      <family val="2"/>
    </font>
    <font>
      <i/>
      <sz val="9"/>
      <color indexed="60"/>
      <name val="Calibri"/>
      <family val="2"/>
    </font>
    <font>
      <sz val="9"/>
      <name val="Calibri"/>
      <family val="2"/>
      <scheme val="minor"/>
    </font>
    <font>
      <sz val="9"/>
      <color indexed="8"/>
      <name val="Calibri"/>
      <family val="2"/>
      <scheme val="minor"/>
    </font>
    <font>
      <sz val="9"/>
      <color indexed="8"/>
      <name val="Calibri"/>
      <family val="2"/>
    </font>
    <font>
      <i/>
      <sz val="9"/>
      <color theme="1" tint="0.34998626667073579"/>
      <name val="Calibri"/>
      <family val="2"/>
    </font>
    <font>
      <i/>
      <sz val="10"/>
      <color theme="0" tint="-4.9989318521683403E-2"/>
      <name val="Calibri"/>
      <family val="2"/>
    </font>
    <font>
      <sz val="10"/>
      <color theme="0" tint="-4.9989318521683403E-2"/>
      <name val="Calibri"/>
      <family val="2"/>
    </font>
    <font>
      <b/>
      <sz val="10"/>
      <color theme="0" tint="-4.9989318521683403E-2"/>
      <name val="Calibri"/>
      <family val="2"/>
    </font>
    <font>
      <sz val="10"/>
      <color rgb="FF7030A0"/>
      <name val="Calibri"/>
      <family val="2"/>
    </font>
    <font>
      <b/>
      <i/>
      <sz val="10"/>
      <color theme="0" tint="-4.9989318521683403E-2"/>
      <name val="Calibri"/>
      <family val="2"/>
    </font>
    <font>
      <i/>
      <u/>
      <sz val="10"/>
      <name val="Calibri"/>
      <family val="2"/>
    </font>
    <font>
      <i/>
      <sz val="11"/>
      <color theme="0" tint="-0.249977111117893"/>
      <name val="Calibri"/>
      <family val="2"/>
    </font>
    <font>
      <b/>
      <i/>
      <sz val="9"/>
      <name val="Calibri"/>
      <family val="2"/>
    </font>
    <font>
      <i/>
      <sz val="10"/>
      <color indexed="10"/>
      <name val="Calibri"/>
      <family val="2"/>
    </font>
    <font>
      <i/>
      <sz val="14"/>
      <color indexed="10"/>
      <name val="Calibri"/>
      <family val="2"/>
    </font>
    <font>
      <i/>
      <sz val="9"/>
      <color indexed="10"/>
      <name val="Calibri"/>
      <family val="2"/>
    </font>
    <font>
      <i/>
      <sz val="9"/>
      <color indexed="8"/>
      <name val="Calibri"/>
      <family val="2"/>
      <scheme val="minor"/>
    </font>
    <font>
      <i/>
      <sz val="9"/>
      <color indexed="8"/>
      <name val="Calibri"/>
      <family val="2"/>
    </font>
    <font>
      <b/>
      <sz val="14"/>
      <color rgb="FFC00000"/>
      <name val="Calibri"/>
      <family val="2"/>
    </font>
  </fonts>
  <fills count="18">
    <fill>
      <patternFill patternType="none"/>
    </fill>
    <fill>
      <patternFill patternType="gray125"/>
    </fill>
    <fill>
      <patternFill patternType="solid">
        <fgColor indexed="31"/>
        <bgColor indexed="64"/>
      </patternFill>
    </fill>
    <fill>
      <patternFill patternType="solid">
        <fgColor indexed="23"/>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FFCC"/>
        <bgColor indexed="64"/>
      </patternFill>
    </fill>
  </fills>
  <borders count="40">
    <border>
      <left/>
      <right/>
      <top/>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47"/>
      </right>
      <top/>
      <bottom style="thin">
        <color indexed="47"/>
      </bottom>
      <diagonal/>
    </border>
    <border>
      <left style="thin">
        <color indexed="47"/>
      </left>
      <right style="thin">
        <color indexed="47"/>
      </right>
      <top/>
      <bottom style="thin">
        <color indexed="47"/>
      </bottom>
      <diagonal/>
    </border>
    <border>
      <left style="thin">
        <color indexed="47"/>
      </left>
      <right/>
      <top/>
      <bottom style="thin">
        <color indexed="47"/>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diagonal/>
    </border>
    <border>
      <left style="thin">
        <color indexed="47"/>
      </left>
      <right style="thin">
        <color indexed="47"/>
      </right>
      <top style="thin">
        <color indexed="47"/>
      </top>
      <bottom/>
      <diagonal/>
    </border>
    <border>
      <left style="thin">
        <color indexed="47"/>
      </left>
      <right/>
      <top style="thin">
        <color indexed="47"/>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thin">
        <color theme="0"/>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double">
        <color theme="0"/>
      </bottom>
      <diagonal/>
    </border>
    <border>
      <left style="thin">
        <color theme="0" tint="-4.9989318521683403E-2"/>
      </left>
      <right style="thin">
        <color theme="0" tint="-4.9989318521683403E-2"/>
      </right>
      <top style="thin">
        <color theme="0" tint="-4.9989318521683403E-2"/>
      </top>
      <bottom style="thin">
        <color theme="0"/>
      </bottom>
      <diagonal/>
    </border>
  </borders>
  <cellStyleXfs count="5">
    <xf numFmtId="0" fontId="0" fillId="0" borderId="0"/>
    <xf numFmtId="0" fontId="2" fillId="0" borderId="0" applyNumberFormat="0" applyFill="0" applyBorder="0" applyAlignment="0" applyProtection="0">
      <alignment vertical="top"/>
      <protection locked="0"/>
    </xf>
    <xf numFmtId="9" fontId="1" fillId="0" borderId="0" applyFont="0" applyFill="0" applyBorder="0" applyAlignment="0" applyProtection="0"/>
    <xf numFmtId="169" fontId="1" fillId="0" borderId="0" applyFont="0" applyFill="0" applyBorder="0" applyAlignment="0" applyProtection="0"/>
    <xf numFmtId="0" fontId="1" fillId="0" borderId="0"/>
  </cellStyleXfs>
  <cellXfs count="699">
    <xf numFmtId="0" fontId="0" fillId="0" borderId="0" xfId="0"/>
    <xf numFmtId="0" fontId="15" fillId="2" borderId="0" xfId="0" applyFont="1" applyFill="1" applyProtection="1"/>
    <xf numFmtId="0" fontId="16" fillId="2" borderId="0" xfId="0" applyFont="1" applyFill="1" applyProtection="1"/>
    <xf numFmtId="0" fontId="15" fillId="2" borderId="0" xfId="0" applyFont="1" applyFill="1"/>
    <xf numFmtId="0" fontId="15" fillId="2" borderId="0" xfId="0" applyFont="1" applyFill="1" applyAlignment="1" applyProtection="1">
      <alignment horizontal="left"/>
    </xf>
    <xf numFmtId="0" fontId="15" fillId="2" borderId="0" xfId="0" applyFont="1" applyFill="1" applyAlignment="1" applyProtection="1">
      <alignment horizontal="right"/>
    </xf>
    <xf numFmtId="165" fontId="15" fillId="2" borderId="0" xfId="0" applyNumberFormat="1" applyFont="1" applyFill="1" applyProtection="1"/>
    <xf numFmtId="0" fontId="15" fillId="2" borderId="0" xfId="0" applyFont="1" applyFill="1" applyAlignment="1" applyProtection="1">
      <alignment horizontal="center"/>
    </xf>
    <xf numFmtId="0" fontId="17" fillId="2" borderId="0" xfId="0" applyFont="1" applyFill="1" applyProtection="1"/>
    <xf numFmtId="0" fontId="15" fillId="3" borderId="2" xfId="0" applyFont="1" applyFill="1" applyBorder="1" applyProtection="1"/>
    <xf numFmtId="0" fontId="15" fillId="3" borderId="3" xfId="0" applyFont="1" applyFill="1" applyBorder="1" applyProtection="1"/>
    <xf numFmtId="0" fontId="20" fillId="3" borderId="3" xfId="0" applyFont="1" applyFill="1" applyBorder="1" applyAlignment="1" applyProtection="1">
      <alignment horizontal="right"/>
    </xf>
    <xf numFmtId="0" fontId="15" fillId="4" borderId="4" xfId="0" applyFont="1" applyFill="1" applyBorder="1" applyProtection="1"/>
    <xf numFmtId="0" fontId="15" fillId="4" borderId="5" xfId="0" applyFont="1" applyFill="1" applyBorder="1" applyProtection="1"/>
    <xf numFmtId="0" fontId="15" fillId="4" borderId="5" xfId="0" applyFont="1" applyFill="1" applyBorder="1" applyAlignment="1" applyProtection="1">
      <alignment horizontal="center"/>
    </xf>
    <xf numFmtId="0" fontId="15" fillId="4" borderId="6" xfId="0" applyFont="1" applyFill="1" applyBorder="1" applyProtection="1"/>
    <xf numFmtId="0" fontId="15" fillId="4" borderId="7" xfId="0" applyFont="1" applyFill="1" applyBorder="1" applyProtection="1"/>
    <xf numFmtId="0" fontId="15" fillId="4" borderId="0" xfId="0" applyFont="1" applyFill="1" applyBorder="1" applyProtection="1"/>
    <xf numFmtId="0" fontId="15" fillId="4" borderId="0" xfId="0" applyFont="1" applyFill="1" applyBorder="1" applyAlignment="1" applyProtection="1">
      <alignment horizontal="center"/>
    </xf>
    <xf numFmtId="0" fontId="15" fillId="4" borderId="8" xfId="0" applyFont="1" applyFill="1" applyBorder="1" applyProtection="1"/>
    <xf numFmtId="0" fontId="15" fillId="4" borderId="0" xfId="0" applyFont="1" applyFill="1" applyBorder="1"/>
    <xf numFmtId="0" fontId="15" fillId="5" borderId="0" xfId="0" applyFont="1" applyFill="1" applyBorder="1" applyProtection="1"/>
    <xf numFmtId="0" fontId="15" fillId="5" borderId="0" xfId="0" applyFont="1" applyFill="1" applyBorder="1" applyAlignment="1" applyProtection="1">
      <alignment horizontal="center"/>
    </xf>
    <xf numFmtId="0" fontId="16" fillId="4" borderId="7" xfId="0" applyFont="1" applyFill="1" applyBorder="1" applyProtection="1"/>
    <xf numFmtId="0" fontId="16" fillId="5" borderId="0" xfId="0" applyFont="1" applyFill="1" applyBorder="1" applyProtection="1"/>
    <xf numFmtId="0" fontId="15" fillId="4" borderId="0" xfId="0" applyFont="1" applyFill="1" applyBorder="1" applyAlignment="1" applyProtection="1">
      <alignment horizontal="center"/>
      <protection locked="0"/>
    </xf>
    <xf numFmtId="0" fontId="15" fillId="5" borderId="0" xfId="0" applyFont="1" applyFill="1" applyBorder="1" applyAlignment="1" applyProtection="1">
      <alignment horizontal="center"/>
      <protection locked="0"/>
    </xf>
    <xf numFmtId="0" fontId="15" fillId="4" borderId="8" xfId="0" applyFont="1" applyFill="1" applyBorder="1"/>
    <xf numFmtId="0" fontId="16" fillId="4" borderId="0" xfId="0" applyFont="1" applyFill="1" applyBorder="1" applyProtection="1"/>
    <xf numFmtId="0" fontId="17" fillId="4" borderId="7" xfId="0" applyFont="1" applyFill="1" applyBorder="1" applyProtection="1"/>
    <xf numFmtId="0" fontId="16" fillId="4" borderId="8" xfId="0" applyFont="1" applyFill="1" applyBorder="1"/>
    <xf numFmtId="0" fontId="15" fillId="2" borderId="0" xfId="0" applyFont="1" applyFill="1" applyBorder="1" applyProtection="1"/>
    <xf numFmtId="0" fontId="17" fillId="4" borderId="8" xfId="0" applyFont="1" applyFill="1" applyBorder="1" applyProtection="1"/>
    <xf numFmtId="166" fontId="15" fillId="4" borderId="0" xfId="0" applyNumberFormat="1" applyFont="1" applyFill="1" applyBorder="1" applyProtection="1"/>
    <xf numFmtId="0" fontId="16" fillId="2" borderId="0" xfId="0" applyFont="1" applyFill="1"/>
    <xf numFmtId="0" fontId="15" fillId="2" borderId="0" xfId="0" applyFont="1" applyFill="1" applyAlignment="1">
      <alignment horizontal="right"/>
    </xf>
    <xf numFmtId="0" fontId="16" fillId="2" borderId="0" xfId="0" applyFont="1" applyFill="1" applyBorder="1" applyProtection="1"/>
    <xf numFmtId="0" fontId="16" fillId="2" borderId="0" xfId="0" applyFont="1" applyFill="1" applyAlignment="1">
      <alignment horizontal="right"/>
    </xf>
    <xf numFmtId="0" fontId="15" fillId="4" borderId="4" xfId="0" applyFont="1" applyFill="1" applyBorder="1"/>
    <xf numFmtId="0" fontId="15" fillId="4" borderId="5" xfId="0" applyFont="1" applyFill="1" applyBorder="1"/>
    <xf numFmtId="0" fontId="15" fillId="4" borderId="6" xfId="0" applyFont="1" applyFill="1" applyBorder="1"/>
    <xf numFmtId="0" fontId="15" fillId="4" borderId="7" xfId="0" applyFont="1" applyFill="1" applyBorder="1"/>
    <xf numFmtId="0" fontId="15" fillId="5" borderId="0" xfId="0" applyFont="1" applyFill="1" applyBorder="1" applyAlignment="1" applyProtection="1">
      <protection locked="0"/>
    </xf>
    <xf numFmtId="0" fontId="16" fillId="4" borderId="7" xfId="0" applyFont="1" applyFill="1" applyBorder="1"/>
    <xf numFmtId="166" fontId="15" fillId="4" borderId="0" xfId="0" applyNumberFormat="1" applyFont="1" applyFill="1" applyBorder="1"/>
    <xf numFmtId="0" fontId="16" fillId="4" borderId="7" xfId="0" applyFont="1" applyFill="1" applyBorder="1" applyAlignment="1">
      <alignment horizontal="right"/>
    </xf>
    <xf numFmtId="0" fontId="15" fillId="4" borderId="7" xfId="0" applyFont="1" applyFill="1" applyBorder="1" applyAlignment="1">
      <alignment horizontal="right"/>
    </xf>
    <xf numFmtId="0" fontId="12" fillId="3" borderId="2" xfId="0" applyFont="1" applyFill="1" applyBorder="1"/>
    <xf numFmtId="0" fontId="12" fillId="3" borderId="3" xfId="0" applyFont="1" applyFill="1" applyBorder="1"/>
    <xf numFmtId="0" fontId="12" fillId="3" borderId="9" xfId="0" applyFont="1" applyFill="1" applyBorder="1"/>
    <xf numFmtId="0" fontId="29" fillId="2" borderId="0" xfId="0" applyFont="1" applyFill="1" applyProtection="1"/>
    <xf numFmtId="0" fontId="29" fillId="2" borderId="0" xfId="0" applyFont="1" applyFill="1"/>
    <xf numFmtId="0" fontId="29" fillId="4" borderId="7" xfId="0" applyFont="1" applyFill="1" applyBorder="1" applyProtection="1"/>
    <xf numFmtId="0" fontId="29" fillId="4" borderId="0" xfId="0" applyFont="1" applyFill="1" applyBorder="1" applyProtection="1"/>
    <xf numFmtId="0" fontId="29" fillId="4" borderId="8" xfId="0" applyFont="1" applyFill="1" applyBorder="1" applyProtection="1"/>
    <xf numFmtId="0" fontId="29" fillId="4" borderId="0" xfId="0" applyFont="1" applyFill="1" applyBorder="1" applyAlignment="1" applyProtection="1">
      <alignment horizontal="center"/>
    </xf>
    <xf numFmtId="0" fontId="15" fillId="3" borderId="3" xfId="0" applyFont="1" applyFill="1" applyBorder="1" applyAlignment="1" applyProtection="1">
      <alignment horizontal="center"/>
    </xf>
    <xf numFmtId="0" fontId="15" fillId="4" borderId="0" xfId="0" applyFont="1" applyFill="1" applyBorder="1" applyAlignment="1" applyProtection="1">
      <protection locked="0"/>
    </xf>
    <xf numFmtId="0" fontId="12" fillId="3" borderId="2" xfId="0" applyFont="1" applyFill="1" applyBorder="1" applyProtection="1"/>
    <xf numFmtId="0" fontId="12" fillId="3" borderId="3" xfId="0" applyFont="1" applyFill="1" applyBorder="1" applyProtection="1"/>
    <xf numFmtId="0" fontId="30" fillId="4" borderId="0" xfId="0" applyFont="1" applyFill="1" applyBorder="1" applyProtection="1"/>
    <xf numFmtId="0" fontId="30" fillId="4" borderId="0" xfId="0" applyFont="1" applyFill="1" applyBorder="1" applyAlignment="1" applyProtection="1">
      <alignment horizontal="left"/>
    </xf>
    <xf numFmtId="0" fontId="30" fillId="4" borderId="0" xfId="0" applyFont="1" applyFill="1" applyBorder="1" applyAlignment="1" applyProtection="1">
      <alignment horizontal="center"/>
    </xf>
    <xf numFmtId="0" fontId="30" fillId="4" borderId="7" xfId="0" applyFont="1" applyFill="1" applyBorder="1"/>
    <xf numFmtId="0" fontId="30" fillId="4" borderId="0" xfId="0" applyFont="1" applyFill="1" applyBorder="1"/>
    <xf numFmtId="0" fontId="30" fillId="4" borderId="8" xfId="0" applyFont="1" applyFill="1" applyBorder="1"/>
    <xf numFmtId="0" fontId="30" fillId="2" borderId="0" xfId="0" applyFont="1" applyFill="1"/>
    <xf numFmtId="0" fontId="31" fillId="4" borderId="7" xfId="0" applyFont="1" applyFill="1" applyBorder="1" applyProtection="1"/>
    <xf numFmtId="0" fontId="31" fillId="4" borderId="0" xfId="0" applyFont="1" applyFill="1" applyBorder="1" applyProtection="1"/>
    <xf numFmtId="0" fontId="31" fillId="4" borderId="8" xfId="0" applyFont="1" applyFill="1" applyBorder="1" applyProtection="1"/>
    <xf numFmtId="0" fontId="31" fillId="2" borderId="0" xfId="0" applyFont="1" applyFill="1" applyProtection="1"/>
    <xf numFmtId="0" fontId="31" fillId="2" borderId="0" xfId="0" applyFont="1" applyFill="1"/>
    <xf numFmtId="0" fontId="17" fillId="4" borderId="0" xfId="0" applyFont="1" applyFill="1" applyBorder="1" applyProtection="1"/>
    <xf numFmtId="0" fontId="17" fillId="2" borderId="0" xfId="0" applyFont="1" applyFill="1" applyAlignment="1" applyProtection="1">
      <alignment horizontal="left"/>
    </xf>
    <xf numFmtId="165" fontId="15" fillId="2" borderId="0" xfId="3" applyNumberFormat="1" applyFont="1" applyFill="1" applyProtection="1"/>
    <xf numFmtId="165" fontId="15" fillId="2" borderId="0" xfId="3" applyNumberFormat="1" applyFont="1" applyFill="1" applyAlignment="1" applyProtection="1">
      <alignment horizontal="center"/>
    </xf>
    <xf numFmtId="165" fontId="15" fillId="2" borderId="0" xfId="3" applyNumberFormat="1" applyFont="1" applyFill="1"/>
    <xf numFmtId="166" fontId="15" fillId="4" borderId="8" xfId="0" applyNumberFormat="1" applyFont="1" applyFill="1" applyBorder="1" applyProtection="1"/>
    <xf numFmtId="166" fontId="16" fillId="4" borderId="8" xfId="0" applyNumberFormat="1" applyFont="1" applyFill="1" applyBorder="1" applyProtection="1"/>
    <xf numFmtId="166" fontId="13" fillId="3" borderId="3" xfId="0" applyNumberFormat="1" applyFont="1" applyFill="1" applyBorder="1" applyAlignment="1" applyProtection="1">
      <alignment horizontal="right"/>
    </xf>
    <xf numFmtId="166" fontId="12" fillId="3" borderId="9" xfId="0" applyNumberFormat="1" applyFont="1" applyFill="1" applyBorder="1" applyProtection="1"/>
    <xf numFmtId="166" fontId="15" fillId="2" borderId="0" xfId="0" applyNumberFormat="1" applyFont="1" applyFill="1" applyProtection="1"/>
    <xf numFmtId="166" fontId="20" fillId="3" borderId="3" xfId="0" applyNumberFormat="1" applyFont="1" applyFill="1" applyBorder="1" applyAlignment="1" applyProtection="1">
      <alignment horizontal="right"/>
    </xf>
    <xf numFmtId="166" fontId="15" fillId="3" borderId="9" xfId="0" applyNumberFormat="1" applyFont="1" applyFill="1" applyBorder="1" applyProtection="1"/>
    <xf numFmtId="166" fontId="12" fillId="3" borderId="3" xfId="0" applyNumberFormat="1" applyFont="1" applyFill="1" applyBorder="1"/>
    <xf numFmtId="166" fontId="15" fillId="2" borderId="0" xfId="0" applyNumberFormat="1" applyFont="1" applyFill="1"/>
    <xf numFmtId="166" fontId="15" fillId="2" borderId="0" xfId="3" applyNumberFormat="1" applyFont="1" applyFill="1" applyProtection="1"/>
    <xf numFmtId="166" fontId="19" fillId="2" borderId="0" xfId="3" applyNumberFormat="1" applyFont="1" applyFill="1" applyProtection="1"/>
    <xf numFmtId="166" fontId="15" fillId="2" borderId="0" xfId="3" applyNumberFormat="1" applyFont="1" applyFill="1" applyAlignment="1" applyProtection="1">
      <alignment horizontal="center"/>
    </xf>
    <xf numFmtId="166" fontId="19" fillId="2" borderId="0" xfId="3" applyNumberFormat="1" applyFont="1" applyFill="1" applyAlignment="1" applyProtection="1">
      <alignment horizontal="center"/>
    </xf>
    <xf numFmtId="166" fontId="15" fillId="2" borderId="0" xfId="3" applyNumberFormat="1" applyFont="1" applyFill="1"/>
    <xf numFmtId="166" fontId="19" fillId="2" borderId="0" xfId="3" applyNumberFormat="1" applyFont="1" applyFill="1"/>
    <xf numFmtId="166" fontId="19" fillId="2" borderId="0" xfId="0" applyNumberFormat="1" applyFont="1" applyFill="1"/>
    <xf numFmtId="166" fontId="19" fillId="2" borderId="0" xfId="0" applyNumberFormat="1" applyFont="1" applyFill="1" applyProtection="1"/>
    <xf numFmtId="0" fontId="23" fillId="2" borderId="0" xfId="0" applyFont="1" applyFill="1" applyBorder="1" applyAlignment="1" applyProtection="1">
      <alignment horizontal="left"/>
    </xf>
    <xf numFmtId="49" fontId="23" fillId="2" borderId="0" xfId="0" applyNumberFormat="1" applyFont="1" applyFill="1" applyBorder="1" applyAlignment="1" applyProtection="1">
      <alignment horizontal="left"/>
    </xf>
    <xf numFmtId="0" fontId="11" fillId="4" borderId="5" xfId="0" applyFont="1" applyFill="1" applyBorder="1"/>
    <xf numFmtId="0" fontId="11" fillId="4" borderId="0" xfId="0" applyFont="1" applyFill="1" applyBorder="1"/>
    <xf numFmtId="0" fontId="38" fillId="4" borderId="0" xfId="0" applyFont="1" applyFill="1" applyBorder="1"/>
    <xf numFmtId="166" fontId="11" fillId="4" borderId="0" xfId="0" applyNumberFormat="1" applyFont="1" applyFill="1" applyBorder="1"/>
    <xf numFmtId="0" fontId="11" fillId="2" borderId="0" xfId="0" applyFont="1" applyFill="1"/>
    <xf numFmtId="0" fontId="12" fillId="2" borderId="0" xfId="0" applyFont="1" applyFill="1" applyBorder="1" applyProtection="1"/>
    <xf numFmtId="166" fontId="12" fillId="2" borderId="0" xfId="0" applyNumberFormat="1" applyFont="1" applyFill="1" applyBorder="1" applyProtection="1"/>
    <xf numFmtId="166" fontId="13" fillId="2" borderId="0" xfId="0" applyNumberFormat="1" applyFont="1" applyFill="1" applyBorder="1" applyAlignment="1" applyProtection="1">
      <alignment horizontal="right"/>
    </xf>
    <xf numFmtId="0" fontId="22" fillId="4" borderId="0" xfId="0" applyFont="1" applyFill="1" applyBorder="1" applyAlignment="1" applyProtection="1">
      <alignment horizontal="center"/>
    </xf>
    <xf numFmtId="0" fontId="22" fillId="4" borderId="0" xfId="0" applyFont="1" applyFill="1" applyBorder="1" applyAlignment="1" applyProtection="1">
      <alignment horizontal="right"/>
    </xf>
    <xf numFmtId="0" fontId="15" fillId="5" borderId="10" xfId="0" applyFont="1" applyFill="1" applyBorder="1" applyProtection="1"/>
    <xf numFmtId="0" fontId="15" fillId="5" borderId="11" xfId="0" applyFont="1" applyFill="1" applyBorder="1" applyProtection="1"/>
    <xf numFmtId="0" fontId="15" fillId="5" borderId="11" xfId="0" applyFont="1" applyFill="1" applyBorder="1" applyAlignment="1" applyProtection="1">
      <alignment horizontal="center"/>
    </xf>
    <xf numFmtId="0" fontId="15" fillId="5" borderId="11" xfId="0" applyFont="1" applyFill="1" applyBorder="1"/>
    <xf numFmtId="0" fontId="15" fillId="5" borderId="12" xfId="0" applyFont="1" applyFill="1" applyBorder="1" applyProtection="1"/>
    <xf numFmtId="0" fontId="15" fillId="5" borderId="13" xfId="0" applyFont="1" applyFill="1" applyBorder="1" applyProtection="1"/>
    <xf numFmtId="0" fontId="18" fillId="5" borderId="14" xfId="0" applyFont="1" applyFill="1" applyBorder="1" applyProtection="1"/>
    <xf numFmtId="0" fontId="15" fillId="5" borderId="14" xfId="0" applyFont="1" applyFill="1" applyBorder="1" applyAlignment="1" applyProtection="1">
      <alignment horizontal="center"/>
    </xf>
    <xf numFmtId="0" fontId="15" fillId="5" borderId="14" xfId="0" applyFont="1" applyFill="1" applyBorder="1" applyProtection="1"/>
    <xf numFmtId="0" fontId="15" fillId="5" borderId="14" xfId="0" applyFont="1" applyFill="1" applyBorder="1"/>
    <xf numFmtId="0" fontId="15" fillId="5" borderId="15" xfId="0" applyFont="1" applyFill="1" applyBorder="1" applyProtection="1"/>
    <xf numFmtId="0" fontId="16" fillId="5" borderId="13" xfId="0" applyFont="1" applyFill="1" applyBorder="1" applyProtection="1"/>
    <xf numFmtId="0" fontId="15" fillId="4" borderId="14" xfId="0" applyFont="1" applyFill="1" applyBorder="1" applyAlignment="1" applyProtection="1">
      <alignment horizontal="center"/>
      <protection locked="0"/>
    </xf>
    <xf numFmtId="0" fontId="15" fillId="5" borderId="14" xfId="0" applyFont="1" applyFill="1" applyBorder="1" applyProtection="1">
      <protection locked="0"/>
    </xf>
    <xf numFmtId="0" fontId="16" fillId="5" borderId="14" xfId="0" applyFont="1" applyFill="1" applyBorder="1" applyProtection="1"/>
    <xf numFmtId="170" fontId="15" fillId="4" borderId="14" xfId="0" applyNumberFormat="1" applyFont="1" applyFill="1" applyBorder="1" applyProtection="1">
      <protection locked="0"/>
    </xf>
    <xf numFmtId="170" fontId="15" fillId="5" borderId="14" xfId="0" applyNumberFormat="1" applyFont="1" applyFill="1" applyBorder="1" applyProtection="1">
      <protection locked="0"/>
    </xf>
    <xf numFmtId="0" fontId="15" fillId="4" borderId="14" xfId="0" applyFont="1" applyFill="1" applyBorder="1" applyAlignment="1" applyProtection="1">
      <alignment horizontal="left"/>
      <protection locked="0"/>
    </xf>
    <xf numFmtId="0" fontId="15" fillId="5" borderId="14" xfId="0" applyFont="1" applyFill="1" applyBorder="1" applyAlignment="1" applyProtection="1">
      <alignment horizontal="center"/>
      <protection locked="0"/>
    </xf>
    <xf numFmtId="166" fontId="15" fillId="5" borderId="14" xfId="0" applyNumberFormat="1" applyFont="1" applyFill="1" applyBorder="1" applyProtection="1"/>
    <xf numFmtId="0" fontId="15" fillId="5" borderId="14" xfId="0" applyFont="1" applyFill="1" applyBorder="1" applyAlignment="1">
      <alignment horizontal="left"/>
    </xf>
    <xf numFmtId="0" fontId="15" fillId="5" borderId="14" xfId="0" applyFont="1" applyFill="1" applyBorder="1" applyAlignment="1">
      <alignment horizontal="center"/>
    </xf>
    <xf numFmtId="0" fontId="15" fillId="5" borderId="16" xfId="0" applyFont="1" applyFill="1" applyBorder="1" applyProtection="1"/>
    <xf numFmtId="0" fontId="15" fillId="5" borderId="17" xfId="0" applyFont="1" applyFill="1" applyBorder="1" applyProtection="1"/>
    <xf numFmtId="0" fontId="15" fillId="5" borderId="17" xfId="0" applyFont="1" applyFill="1" applyBorder="1" applyAlignment="1" applyProtection="1">
      <alignment horizontal="center"/>
    </xf>
    <xf numFmtId="0" fontId="15" fillId="5" borderId="18" xfId="0" applyFont="1" applyFill="1" applyBorder="1" applyProtection="1"/>
    <xf numFmtId="0" fontId="16" fillId="5" borderId="11" xfId="0" applyFont="1" applyFill="1" applyBorder="1" applyProtection="1"/>
    <xf numFmtId="0" fontId="15" fillId="5" borderId="10" xfId="0" applyFont="1" applyFill="1" applyBorder="1"/>
    <xf numFmtId="0" fontId="11" fillId="5" borderId="12" xfId="0" applyFont="1" applyFill="1" applyBorder="1"/>
    <xf numFmtId="0" fontId="15" fillId="5" borderId="13" xfId="0" applyFont="1" applyFill="1" applyBorder="1"/>
    <xf numFmtId="0" fontId="18" fillId="5" borderId="14" xfId="0" applyFont="1" applyFill="1" applyBorder="1"/>
    <xf numFmtId="0" fontId="11" fillId="5" borderId="15" xfId="0" applyFont="1" applyFill="1" applyBorder="1"/>
    <xf numFmtId="0" fontId="15" fillId="4" borderId="14" xfId="0" applyFont="1" applyFill="1" applyBorder="1" applyAlignment="1" applyProtection="1">
      <protection locked="0"/>
    </xf>
    <xf numFmtId="0" fontId="15" fillId="5" borderId="14" xfId="0" applyFont="1" applyFill="1" applyBorder="1" applyAlignment="1" applyProtection="1">
      <protection locked="0"/>
    </xf>
    <xf numFmtId="0" fontId="15" fillId="5" borderId="14" xfId="0" applyFont="1" applyFill="1" applyBorder="1" applyAlignment="1" applyProtection="1">
      <alignment horizontal="left"/>
      <protection locked="0"/>
    </xf>
    <xf numFmtId="0" fontId="16" fillId="5" borderId="13" xfId="0" applyFont="1" applyFill="1" applyBorder="1"/>
    <xf numFmtId="0" fontId="16" fillId="5" borderId="14" xfId="0" applyFont="1" applyFill="1" applyBorder="1"/>
    <xf numFmtId="0" fontId="14" fillId="5" borderId="15" xfId="0" applyFont="1" applyFill="1" applyBorder="1"/>
    <xf numFmtId="0" fontId="15" fillId="5" borderId="14" xfId="0" applyFont="1" applyFill="1" applyBorder="1" applyAlignment="1">
      <alignment horizontal="right"/>
    </xf>
    <xf numFmtId="166" fontId="15" fillId="5" borderId="14" xfId="0" applyNumberFormat="1" applyFont="1" applyFill="1" applyBorder="1" applyAlignment="1">
      <alignment horizontal="center"/>
    </xf>
    <xf numFmtId="166" fontId="15" fillId="6" borderId="14" xfId="0" applyNumberFormat="1" applyFont="1" applyFill="1" applyBorder="1" applyAlignment="1">
      <alignment horizontal="center"/>
    </xf>
    <xf numFmtId="166" fontId="15" fillId="5" borderId="14" xfId="0" applyNumberFormat="1" applyFont="1" applyFill="1" applyBorder="1" applyAlignment="1">
      <alignment horizontal="right"/>
    </xf>
    <xf numFmtId="166" fontId="15" fillId="6" borderId="14" xfId="0" applyNumberFormat="1" applyFont="1" applyFill="1" applyBorder="1" applyAlignment="1">
      <alignment horizontal="right"/>
    </xf>
    <xf numFmtId="0" fontId="15" fillId="5" borderId="16" xfId="0" applyFont="1" applyFill="1" applyBorder="1"/>
    <xf numFmtId="0" fontId="15" fillId="5" borderId="17" xfId="0" applyFont="1" applyFill="1" applyBorder="1"/>
    <xf numFmtId="166" fontId="15" fillId="5" borderId="17" xfId="0" applyNumberFormat="1" applyFont="1" applyFill="1" applyBorder="1" applyAlignment="1">
      <alignment horizontal="right"/>
    </xf>
    <xf numFmtId="0" fontId="11" fillId="5" borderId="18" xfId="0" applyFont="1" applyFill="1" applyBorder="1"/>
    <xf numFmtId="0" fontId="25" fillId="5" borderId="14" xfId="0" applyFont="1" applyFill="1" applyBorder="1" applyAlignment="1">
      <alignment horizontal="center"/>
    </xf>
    <xf numFmtId="0" fontId="16" fillId="5" borderId="14" xfId="0" applyFont="1" applyFill="1" applyBorder="1" applyAlignment="1">
      <alignment horizontal="center"/>
    </xf>
    <xf numFmtId="0" fontId="14" fillId="5" borderId="15" xfId="0" applyFont="1" applyFill="1" applyBorder="1" applyAlignment="1">
      <alignment horizontal="center"/>
    </xf>
    <xf numFmtId="0" fontId="17" fillId="5" borderId="14" xfId="0" applyFont="1" applyFill="1" applyBorder="1"/>
    <xf numFmtId="0" fontId="17" fillId="5" borderId="14" xfId="0" applyFont="1" applyFill="1" applyBorder="1" applyAlignment="1">
      <alignment horizontal="center"/>
    </xf>
    <xf numFmtId="0" fontId="11" fillId="5" borderId="15" xfId="0" applyFont="1" applyFill="1" applyBorder="1" applyAlignment="1">
      <alignment horizontal="center"/>
    </xf>
    <xf numFmtId="0" fontId="15" fillId="6" borderId="14" xfId="0" applyFont="1" applyFill="1" applyBorder="1" applyAlignment="1">
      <alignment horizontal="center"/>
    </xf>
    <xf numFmtId="175" fontId="15" fillId="6" borderId="14" xfId="0" applyNumberFormat="1" applyFont="1" applyFill="1" applyBorder="1" applyAlignment="1">
      <alignment horizontal="center"/>
    </xf>
    <xf numFmtId="1" fontId="15" fillId="4" borderId="14" xfId="0" applyNumberFormat="1" applyFont="1" applyFill="1" applyBorder="1" applyAlignment="1" applyProtection="1">
      <alignment horizontal="center"/>
      <protection locked="0"/>
    </xf>
    <xf numFmtId="10" fontId="15" fillId="5" borderId="14" xfId="0" applyNumberFormat="1" applyFont="1" applyFill="1" applyBorder="1" applyAlignment="1">
      <alignment horizontal="center"/>
    </xf>
    <xf numFmtId="10" fontId="15" fillId="6" borderId="14" xfId="0" applyNumberFormat="1" applyFont="1" applyFill="1" applyBorder="1" applyAlignment="1">
      <alignment horizontal="center"/>
    </xf>
    <xf numFmtId="0" fontId="26" fillId="5" borderId="14" xfId="0" applyFont="1" applyFill="1" applyBorder="1" applyAlignment="1">
      <alignment horizontal="center"/>
    </xf>
    <xf numFmtId="0" fontId="11" fillId="5" borderId="15" xfId="0" applyFont="1" applyFill="1" applyBorder="1" applyAlignment="1" applyProtection="1">
      <alignment horizontal="center"/>
    </xf>
    <xf numFmtId="170" fontId="15" fillId="5" borderId="14" xfId="0" applyNumberFormat="1" applyFont="1" applyFill="1" applyBorder="1" applyAlignment="1">
      <alignment horizontal="center"/>
    </xf>
    <xf numFmtId="166" fontId="15" fillId="5" borderId="14" xfId="0" applyNumberFormat="1" applyFont="1" applyFill="1" applyBorder="1" applyAlignment="1" applyProtection="1">
      <alignment horizontal="center"/>
    </xf>
    <xf numFmtId="0" fontId="39" fillId="5" borderId="15" xfId="0" applyFont="1" applyFill="1" applyBorder="1" applyAlignment="1" applyProtection="1">
      <alignment horizontal="center"/>
    </xf>
    <xf numFmtId="166" fontId="15" fillId="6" borderId="14" xfId="0" applyNumberFormat="1" applyFont="1" applyFill="1" applyBorder="1" applyAlignment="1" applyProtection="1">
      <alignment horizontal="center"/>
    </xf>
    <xf numFmtId="166" fontId="39" fillId="5" borderId="15" xfId="0" applyNumberFormat="1" applyFont="1" applyFill="1" applyBorder="1" applyAlignment="1" applyProtection="1">
      <alignment horizontal="center"/>
    </xf>
    <xf numFmtId="166" fontId="39" fillId="5" borderId="15" xfId="0" applyNumberFormat="1" applyFont="1" applyFill="1" applyBorder="1" applyAlignment="1">
      <alignment horizontal="center"/>
    </xf>
    <xf numFmtId="0" fontId="39" fillId="5" borderId="15" xfId="0" applyFont="1" applyFill="1" applyBorder="1" applyAlignment="1">
      <alignment horizontal="center"/>
    </xf>
    <xf numFmtId="10" fontId="16" fillId="5" borderId="14" xfId="0" applyNumberFormat="1" applyFont="1" applyFill="1" applyBorder="1" applyAlignment="1">
      <alignment horizontal="center"/>
    </xf>
    <xf numFmtId="166" fontId="16" fillId="2" borderId="14" xfId="0" applyNumberFormat="1" applyFont="1" applyFill="1" applyBorder="1" applyAlignment="1">
      <alignment horizontal="center"/>
    </xf>
    <xf numFmtId="0" fontId="37" fillId="5" borderId="15" xfId="0" applyFont="1" applyFill="1" applyBorder="1" applyAlignment="1">
      <alignment horizontal="center"/>
    </xf>
    <xf numFmtId="0" fontId="19" fillId="5" borderId="14" xfId="0" applyFont="1" applyFill="1" applyBorder="1"/>
    <xf numFmtId="0" fontId="19" fillId="5" borderId="14" xfId="0" applyFont="1" applyFill="1" applyBorder="1" applyAlignment="1">
      <alignment horizontal="center"/>
    </xf>
    <xf numFmtId="166" fontId="19" fillId="6" borderId="14" xfId="0" applyNumberFormat="1" applyFont="1" applyFill="1" applyBorder="1" applyAlignment="1">
      <alignment horizontal="center"/>
    </xf>
    <xf numFmtId="173" fontId="16" fillId="5" borderId="14" xfId="0" applyNumberFormat="1" applyFont="1" applyFill="1" applyBorder="1" applyAlignment="1" applyProtection="1">
      <alignment horizontal="center"/>
      <protection locked="0"/>
    </xf>
    <xf numFmtId="0" fontId="39" fillId="5" borderId="14" xfId="0" applyFont="1" applyFill="1" applyBorder="1"/>
    <xf numFmtId="166" fontId="39" fillId="5" borderId="14" xfId="0" applyNumberFormat="1" applyFont="1" applyFill="1" applyBorder="1" applyAlignment="1">
      <alignment horizontal="center"/>
    </xf>
    <xf numFmtId="166" fontId="11" fillId="5" borderId="15" xfId="0" applyNumberFormat="1" applyFont="1" applyFill="1" applyBorder="1"/>
    <xf numFmtId="166" fontId="27" fillId="5" borderId="17" xfId="0" applyNumberFormat="1" applyFont="1" applyFill="1" applyBorder="1" applyAlignment="1">
      <alignment horizontal="center"/>
    </xf>
    <xf numFmtId="166" fontId="11" fillId="5" borderId="18" xfId="0" applyNumberFormat="1" applyFont="1" applyFill="1" applyBorder="1"/>
    <xf numFmtId="0" fontId="15" fillId="5" borderId="11" xfId="0" applyFont="1" applyFill="1" applyBorder="1" applyAlignment="1">
      <alignment horizontal="left"/>
    </xf>
    <xf numFmtId="166" fontId="15" fillId="5" borderId="11" xfId="0" applyNumberFormat="1" applyFont="1" applyFill="1" applyBorder="1" applyAlignment="1">
      <alignment horizontal="left"/>
    </xf>
    <xf numFmtId="166" fontId="11" fillId="5" borderId="12" xfId="0" applyNumberFormat="1" applyFont="1" applyFill="1" applyBorder="1" applyAlignment="1">
      <alignment horizontal="left"/>
    </xf>
    <xf numFmtId="167" fontId="15" fillId="4" borderId="14" xfId="0" applyNumberFormat="1" applyFont="1" applyFill="1" applyBorder="1" applyAlignment="1" applyProtection="1">
      <alignment horizontal="center"/>
      <protection locked="0"/>
    </xf>
    <xf numFmtId="166" fontId="11" fillId="5" borderId="15" xfId="0" applyNumberFormat="1" applyFont="1" applyFill="1" applyBorder="1" applyAlignment="1">
      <alignment horizontal="left"/>
    </xf>
    <xf numFmtId="164" fontId="15" fillId="5" borderId="14" xfId="0" applyNumberFormat="1" applyFont="1" applyFill="1" applyBorder="1" applyAlignment="1" applyProtection="1">
      <alignment horizontal="left"/>
      <protection locked="0"/>
    </xf>
    <xf numFmtId="164" fontId="15" fillId="4" borderId="14" xfId="0" applyNumberFormat="1" applyFont="1" applyFill="1" applyBorder="1" applyAlignment="1" applyProtection="1">
      <alignment horizontal="center"/>
      <protection locked="0"/>
    </xf>
    <xf numFmtId="166" fontId="15" fillId="5" borderId="14" xfId="0" applyNumberFormat="1" applyFont="1" applyFill="1" applyBorder="1" applyAlignment="1">
      <alignment horizontal="left"/>
    </xf>
    <xf numFmtId="0" fontId="15" fillId="5" borderId="17" xfId="0" applyFont="1" applyFill="1" applyBorder="1" applyAlignment="1">
      <alignment horizontal="left"/>
    </xf>
    <xf numFmtId="166" fontId="15" fillId="5" borderId="17" xfId="0" applyNumberFormat="1" applyFont="1" applyFill="1" applyBorder="1" applyAlignment="1">
      <alignment horizontal="left"/>
    </xf>
    <xf numFmtId="166" fontId="11" fillId="5" borderId="18" xfId="0" applyNumberFormat="1" applyFont="1" applyFill="1" applyBorder="1" applyAlignment="1">
      <alignment horizontal="left"/>
    </xf>
    <xf numFmtId="166" fontId="15" fillId="5" borderId="11" xfId="0" applyNumberFormat="1" applyFont="1" applyFill="1" applyBorder="1"/>
    <xf numFmtId="0" fontId="16" fillId="5" borderId="13" xfId="0" applyFont="1" applyFill="1" applyBorder="1" applyAlignment="1">
      <alignment horizontal="right"/>
    </xf>
    <xf numFmtId="0" fontId="15" fillId="5" borderId="13" xfId="0" applyFont="1" applyFill="1" applyBorder="1" applyAlignment="1">
      <alignment horizontal="right"/>
    </xf>
    <xf numFmtId="166" fontId="15" fillId="5" borderId="14" xfId="0" applyNumberFormat="1" applyFont="1" applyFill="1" applyBorder="1"/>
    <xf numFmtId="166" fontId="15" fillId="5" borderId="14" xfId="0" applyNumberFormat="1" applyFont="1" applyFill="1" applyBorder="1" applyAlignment="1" applyProtection="1">
      <protection locked="0"/>
    </xf>
    <xf numFmtId="3" fontId="15" fillId="5" borderId="14" xfId="0" applyNumberFormat="1" applyFont="1" applyFill="1" applyBorder="1" applyProtection="1">
      <protection locked="0"/>
    </xf>
    <xf numFmtId="3" fontId="15" fillId="4" borderId="14" xfId="0" applyNumberFormat="1" applyFont="1" applyFill="1" applyBorder="1" applyAlignment="1" applyProtection="1">
      <alignment horizontal="center"/>
      <protection locked="0"/>
    </xf>
    <xf numFmtId="166" fontId="22" fillId="5" borderId="14" xfId="0" applyNumberFormat="1" applyFont="1" applyFill="1" applyBorder="1"/>
    <xf numFmtId="0" fontId="28" fillId="5" borderId="14" xfId="0" applyFont="1" applyFill="1" applyBorder="1"/>
    <xf numFmtId="173" fontId="15" fillId="5" borderId="14" xfId="0" applyNumberFormat="1" applyFont="1" applyFill="1" applyBorder="1" applyProtection="1">
      <protection locked="0"/>
    </xf>
    <xf numFmtId="173" fontId="15" fillId="4" borderId="14" xfId="0" applyNumberFormat="1" applyFont="1" applyFill="1" applyBorder="1" applyAlignment="1" applyProtection="1">
      <alignment horizontal="center"/>
      <protection locked="0"/>
    </xf>
    <xf numFmtId="173" fontId="15" fillId="6" borderId="14" xfId="0" applyNumberFormat="1" applyFont="1" applyFill="1" applyBorder="1" applyAlignment="1" applyProtection="1">
      <alignment horizontal="center"/>
      <protection locked="0"/>
    </xf>
    <xf numFmtId="0" fontId="15" fillId="6" borderId="14" xfId="0" applyFont="1" applyFill="1" applyBorder="1" applyAlignment="1" applyProtection="1">
      <alignment horizontal="center"/>
      <protection locked="0"/>
    </xf>
    <xf numFmtId="3" fontId="15" fillId="5" borderId="14" xfId="0" applyNumberFormat="1" applyFont="1" applyFill="1" applyBorder="1"/>
    <xf numFmtId="3" fontId="15" fillId="6" borderId="14" xfId="0" applyNumberFormat="1" applyFont="1" applyFill="1" applyBorder="1" applyAlignment="1">
      <alignment horizontal="center"/>
    </xf>
    <xf numFmtId="165" fontId="15" fillId="5" borderId="14" xfId="0" applyNumberFormat="1" applyFont="1" applyFill="1" applyBorder="1" applyProtection="1">
      <protection locked="0"/>
    </xf>
    <xf numFmtId="165" fontId="15" fillId="6" borderId="14" xfId="0" applyNumberFormat="1" applyFont="1" applyFill="1" applyBorder="1" applyAlignment="1" applyProtection="1">
      <alignment horizontal="center"/>
      <protection locked="0"/>
    </xf>
    <xf numFmtId="165" fontId="16" fillId="5" borderId="14" xfId="0" applyNumberFormat="1" applyFont="1" applyFill="1" applyBorder="1"/>
    <xf numFmtId="165" fontId="16" fillId="2" borderId="14" xfId="0" applyNumberFormat="1" applyFont="1" applyFill="1" applyBorder="1" applyAlignment="1">
      <alignment horizontal="center"/>
    </xf>
    <xf numFmtId="166" fontId="27" fillId="5" borderId="14" xfId="0" applyNumberFormat="1" applyFont="1" applyFill="1" applyBorder="1"/>
    <xf numFmtId="0" fontId="33" fillId="5" borderId="14" xfId="0" applyFont="1" applyFill="1" applyBorder="1"/>
    <xf numFmtId="166" fontId="15" fillId="5" borderId="17" xfId="0" applyNumberFormat="1" applyFont="1" applyFill="1" applyBorder="1"/>
    <xf numFmtId="0" fontId="22" fillId="5" borderId="14" xfId="0" applyFont="1" applyFill="1" applyBorder="1" applyAlignment="1" applyProtection="1">
      <alignment horizontal="right"/>
    </xf>
    <xf numFmtId="0" fontId="22" fillId="5" borderId="14" xfId="0" applyFont="1" applyFill="1" applyBorder="1" applyAlignment="1" applyProtection="1">
      <alignment horizontal="center"/>
    </xf>
    <xf numFmtId="170" fontId="15" fillId="4" borderId="14" xfId="0" applyNumberFormat="1" applyFont="1" applyFill="1" applyBorder="1" applyAlignment="1" applyProtection="1">
      <alignment horizontal="center"/>
      <protection locked="0"/>
    </xf>
    <xf numFmtId="0" fontId="15" fillId="5" borderId="15" xfId="0" applyFont="1" applyFill="1" applyBorder="1"/>
    <xf numFmtId="0" fontId="15" fillId="5" borderId="18" xfId="0" applyFont="1" applyFill="1" applyBorder="1"/>
    <xf numFmtId="0" fontId="15" fillId="5" borderId="12" xfId="0" applyFont="1" applyFill="1" applyBorder="1"/>
    <xf numFmtId="0" fontId="15" fillId="6" borderId="14" xfId="0" applyFont="1" applyFill="1" applyBorder="1" applyAlignment="1" applyProtection="1">
      <alignment horizontal="center"/>
    </xf>
    <xf numFmtId="165" fontId="15" fillId="6" borderId="14" xfId="0" applyNumberFormat="1" applyFont="1" applyFill="1" applyBorder="1" applyAlignment="1" applyProtection="1">
      <alignment horizontal="center"/>
    </xf>
    <xf numFmtId="165" fontId="15" fillId="5" borderId="14" xfId="0" applyNumberFormat="1" applyFont="1" applyFill="1" applyBorder="1" applyAlignment="1" applyProtection="1">
      <alignment horizontal="center"/>
    </xf>
    <xf numFmtId="165" fontId="16" fillId="2" borderId="14" xfId="0" applyNumberFormat="1" applyFont="1" applyFill="1" applyBorder="1" applyAlignment="1" applyProtection="1">
      <alignment horizontal="center"/>
    </xf>
    <xf numFmtId="0" fontId="16" fillId="5" borderId="14" xfId="0" applyFont="1" applyFill="1" applyBorder="1" applyAlignment="1" applyProtection="1">
      <protection locked="0"/>
    </xf>
    <xf numFmtId="3" fontId="15" fillId="4" borderId="14" xfId="0" applyNumberFormat="1" applyFont="1" applyFill="1" applyBorder="1" applyAlignment="1">
      <alignment horizontal="center"/>
    </xf>
    <xf numFmtId="10" fontId="15" fillId="4" borderId="14" xfId="0" applyNumberFormat="1" applyFont="1" applyFill="1" applyBorder="1" applyAlignment="1" applyProtection="1">
      <alignment horizontal="center"/>
      <protection locked="0"/>
    </xf>
    <xf numFmtId="166" fontId="15" fillId="5" borderId="15" xfId="0" applyNumberFormat="1" applyFont="1" applyFill="1" applyBorder="1"/>
    <xf numFmtId="165" fontId="15" fillId="4" borderId="14" xfId="0" applyNumberFormat="1" applyFont="1" applyFill="1" applyBorder="1" applyAlignment="1" applyProtection="1">
      <alignment horizontal="center"/>
      <protection locked="0"/>
    </xf>
    <xf numFmtId="165" fontId="15" fillId="5" borderId="14" xfId="0" applyNumberFormat="1" applyFont="1" applyFill="1" applyBorder="1" applyAlignment="1" applyProtection="1">
      <alignment horizontal="center"/>
      <protection locked="0"/>
    </xf>
    <xf numFmtId="166" fontId="16" fillId="5" borderId="15" xfId="0" applyNumberFormat="1" applyFont="1" applyFill="1" applyBorder="1"/>
    <xf numFmtId="0" fontId="16" fillId="5" borderId="17" xfId="0" applyFont="1" applyFill="1" applyBorder="1"/>
    <xf numFmtId="166" fontId="15" fillId="5" borderId="18" xfId="0" applyNumberFormat="1" applyFont="1" applyFill="1" applyBorder="1"/>
    <xf numFmtId="0" fontId="15" fillId="5" borderId="11" xfId="0" applyFont="1" applyFill="1" applyBorder="1" applyAlignment="1" applyProtection="1">
      <alignment horizontal="center"/>
      <protection locked="0"/>
    </xf>
    <xf numFmtId="0" fontId="15" fillId="5" borderId="11" xfId="0" applyFont="1" applyFill="1" applyBorder="1" applyAlignment="1" applyProtection="1">
      <protection locked="0"/>
    </xf>
    <xf numFmtId="0" fontId="15" fillId="4" borderId="14" xfId="0" applyNumberFormat="1" applyFont="1" applyFill="1" applyBorder="1" applyAlignment="1" applyProtection="1">
      <alignment horizontal="center"/>
      <protection locked="0"/>
    </xf>
    <xf numFmtId="166" fontId="15" fillId="6" borderId="14" xfId="0" applyNumberFormat="1" applyFont="1" applyFill="1" applyBorder="1" applyAlignment="1" applyProtection="1">
      <alignment horizontal="center"/>
      <protection locked="0"/>
    </xf>
    <xf numFmtId="0" fontId="22" fillId="5" borderId="14" xfId="0" applyFont="1" applyFill="1" applyBorder="1" applyAlignment="1">
      <alignment horizontal="right"/>
    </xf>
    <xf numFmtId="0" fontId="22" fillId="5" borderId="14" xfId="0" applyFont="1" applyFill="1" applyBorder="1" applyAlignment="1">
      <alignment horizontal="center"/>
    </xf>
    <xf numFmtId="0" fontId="15" fillId="5" borderId="17" xfId="0" applyFont="1" applyFill="1" applyBorder="1" applyAlignment="1" applyProtection="1">
      <alignment horizontal="center"/>
      <protection locked="0"/>
    </xf>
    <xf numFmtId="0" fontId="22" fillId="5" borderId="17" xfId="0" applyFont="1" applyFill="1" applyBorder="1" applyAlignment="1" applyProtection="1">
      <alignment horizontal="right"/>
    </xf>
    <xf numFmtId="0" fontId="22" fillId="5" borderId="17" xfId="0" applyFont="1" applyFill="1" applyBorder="1" applyAlignment="1" applyProtection="1">
      <alignment horizontal="center"/>
    </xf>
    <xf numFmtId="0" fontId="22" fillId="5" borderId="11" xfId="0" applyFont="1" applyFill="1" applyBorder="1" applyAlignment="1" applyProtection="1">
      <alignment horizontal="right"/>
    </xf>
    <xf numFmtId="0" fontId="22" fillId="5" borderId="11" xfId="0" applyFont="1" applyFill="1" applyBorder="1" applyAlignment="1" applyProtection="1">
      <alignment horizontal="center"/>
    </xf>
    <xf numFmtId="174" fontId="15" fillId="4" borderId="14" xfId="0" applyNumberFormat="1" applyFont="1" applyFill="1" applyBorder="1" applyAlignment="1" applyProtection="1">
      <alignment horizontal="center"/>
      <protection locked="0"/>
    </xf>
    <xf numFmtId="166" fontId="15" fillId="2" borderId="14" xfId="0" applyNumberFormat="1" applyFont="1" applyFill="1" applyBorder="1" applyAlignment="1" applyProtection="1">
      <alignment horizontal="center"/>
    </xf>
    <xf numFmtId="165" fontId="16" fillId="5" borderId="14" xfId="0" applyNumberFormat="1" applyFont="1" applyFill="1" applyBorder="1" applyAlignment="1" applyProtection="1">
      <alignment horizontal="center"/>
    </xf>
    <xf numFmtId="166" fontId="15" fillId="5" borderId="15" xfId="0" applyNumberFormat="1" applyFont="1" applyFill="1" applyBorder="1" applyProtection="1"/>
    <xf numFmtId="166" fontId="16" fillId="5" borderId="15" xfId="0" applyNumberFormat="1" applyFont="1" applyFill="1" applyBorder="1" applyProtection="1"/>
    <xf numFmtId="166" fontId="15" fillId="5" borderId="18" xfId="0" applyNumberFormat="1" applyFont="1" applyFill="1" applyBorder="1" applyProtection="1"/>
    <xf numFmtId="0" fontId="30" fillId="4" borderId="0" xfId="0" applyFont="1" applyFill="1" applyBorder="1" applyAlignment="1">
      <alignment horizontal="left"/>
    </xf>
    <xf numFmtId="0" fontId="31" fillId="2" borderId="0" xfId="0" applyFont="1" applyFill="1" applyBorder="1" applyProtection="1"/>
    <xf numFmtId="0" fontId="29" fillId="2" borderId="0" xfId="0" applyFont="1" applyFill="1" applyBorder="1" applyProtection="1"/>
    <xf numFmtId="0" fontId="15" fillId="2" borderId="0" xfId="0" applyFont="1" applyFill="1" applyBorder="1"/>
    <xf numFmtId="166" fontId="15" fillId="2" borderId="0" xfId="0" applyNumberFormat="1" applyFont="1" applyFill="1" applyBorder="1" applyProtection="1"/>
    <xf numFmtId="166" fontId="16" fillId="2" borderId="0" xfId="0" applyNumberFormat="1" applyFont="1" applyFill="1" applyBorder="1" applyProtection="1"/>
    <xf numFmtId="0" fontId="30" fillId="4" borderId="0" xfId="0" applyFont="1" applyFill="1" applyBorder="1" applyAlignment="1">
      <alignment horizontal="center"/>
    </xf>
    <xf numFmtId="0" fontId="41" fillId="2" borderId="19" xfId="0" applyFont="1" applyFill="1" applyBorder="1" applyProtection="1"/>
    <xf numFmtId="0" fontId="42" fillId="2" borderId="20" xfId="0" applyFont="1" applyFill="1" applyBorder="1" applyProtection="1"/>
    <xf numFmtId="0" fontId="42" fillId="2" borderId="21" xfId="0" applyFont="1" applyFill="1" applyBorder="1" applyProtection="1"/>
    <xf numFmtId="0" fontId="42" fillId="2" borderId="22" xfId="0" applyFont="1" applyFill="1" applyBorder="1" applyProtection="1"/>
    <xf numFmtId="0" fontId="42" fillId="2" borderId="0" xfId="0" applyFont="1" applyFill="1" applyBorder="1" applyProtection="1"/>
    <xf numFmtId="0" fontId="42" fillId="2" borderId="23" xfId="0" applyFont="1" applyFill="1" applyBorder="1" applyProtection="1"/>
    <xf numFmtId="165" fontId="42" fillId="2" borderId="0" xfId="0" applyNumberFormat="1" applyFont="1" applyFill="1" applyBorder="1" applyProtection="1"/>
    <xf numFmtId="0" fontId="42" fillId="2" borderId="24" xfId="0" applyFont="1" applyFill="1" applyBorder="1" applyProtection="1"/>
    <xf numFmtId="0" fontId="42" fillId="2" borderId="25" xfId="0" applyFont="1" applyFill="1" applyBorder="1" applyProtection="1"/>
    <xf numFmtId="165" fontId="42" fillId="2" borderId="25" xfId="0" applyNumberFormat="1" applyFont="1" applyFill="1" applyBorder="1" applyProtection="1"/>
    <xf numFmtId="0" fontId="42" fillId="2" borderId="26" xfId="0" applyFont="1" applyFill="1" applyBorder="1" applyProtection="1"/>
    <xf numFmtId="0" fontId="40" fillId="2" borderId="0" xfId="0" applyFont="1" applyFill="1" applyAlignment="1" applyProtection="1">
      <alignment horizontal="left"/>
    </xf>
    <xf numFmtId="168" fontId="15" fillId="6" borderId="14" xfId="0" applyNumberFormat="1" applyFont="1" applyFill="1" applyBorder="1" applyAlignment="1" applyProtection="1">
      <alignment horizontal="center"/>
    </xf>
    <xf numFmtId="168" fontId="15" fillId="6" borderId="14" xfId="0" applyNumberFormat="1" applyFont="1" applyFill="1" applyBorder="1" applyAlignment="1" applyProtection="1">
      <alignment horizontal="center"/>
      <protection locked="0"/>
    </xf>
    <xf numFmtId="173" fontId="19" fillId="0" borderId="14" xfId="0" applyNumberFormat="1" applyFont="1" applyFill="1" applyBorder="1" applyAlignment="1" applyProtection="1">
      <alignment horizontal="center"/>
      <protection locked="0"/>
    </xf>
    <xf numFmtId="0" fontId="21" fillId="4" borderId="0" xfId="0" applyFont="1" applyFill="1" applyBorder="1" applyProtection="1"/>
    <xf numFmtId="0" fontId="15" fillId="4" borderId="0" xfId="0" applyFont="1" applyFill="1" applyBorder="1" applyAlignment="1" applyProtection="1">
      <alignment horizontal="left"/>
      <protection locked="0"/>
    </xf>
    <xf numFmtId="0" fontId="15" fillId="5" borderId="0" xfId="0" applyFont="1" applyFill="1" applyBorder="1" applyAlignment="1" applyProtection="1">
      <alignment horizontal="left"/>
      <protection locked="0"/>
    </xf>
    <xf numFmtId="0" fontId="8" fillId="2" borderId="0" xfId="0" applyFont="1" applyFill="1" applyProtection="1"/>
    <xf numFmtId="0" fontId="43" fillId="4" borderId="0" xfId="0" applyFont="1" applyFill="1" applyBorder="1" applyAlignment="1" applyProtection="1">
      <alignment horizontal="left"/>
    </xf>
    <xf numFmtId="0" fontId="44" fillId="7" borderId="0" xfId="0" applyFont="1" applyFill="1" applyBorder="1" applyAlignment="1" applyProtection="1">
      <alignment horizontal="center"/>
    </xf>
    <xf numFmtId="0" fontId="43" fillId="4" borderId="0" xfId="0" applyFont="1" applyFill="1" applyBorder="1" applyAlignment="1" applyProtection="1">
      <alignment horizontal="center"/>
    </xf>
    <xf numFmtId="0" fontId="43" fillId="4" borderId="4" xfId="0" applyFont="1" applyFill="1" applyBorder="1" applyAlignment="1" applyProtection="1">
      <alignment horizontal="center"/>
    </xf>
    <xf numFmtId="0" fontId="43" fillId="4" borderId="5" xfId="0" applyFont="1" applyFill="1" applyBorder="1" applyAlignment="1" applyProtection="1">
      <alignment horizontal="center"/>
    </xf>
    <xf numFmtId="0" fontId="43" fillId="4" borderId="5" xfId="0" applyFont="1" applyFill="1" applyBorder="1" applyAlignment="1" applyProtection="1">
      <alignment horizontal="left"/>
    </xf>
    <xf numFmtId="0" fontId="43" fillId="4" borderId="6" xfId="0" applyFont="1" applyFill="1" applyBorder="1" applyAlignment="1" applyProtection="1">
      <alignment horizontal="center"/>
    </xf>
    <xf numFmtId="0" fontId="44" fillId="4" borderId="5" xfId="0" applyFont="1" applyFill="1" applyBorder="1" applyAlignment="1" applyProtection="1">
      <alignment horizontal="center"/>
    </xf>
    <xf numFmtId="0" fontId="43" fillId="7" borderId="0" xfId="0" applyFont="1" applyFill="1" applyBorder="1" applyAlignment="1" applyProtection="1">
      <alignment horizontal="center"/>
    </xf>
    <xf numFmtId="0" fontId="43" fillId="4" borderId="7" xfId="0" applyFont="1" applyFill="1" applyBorder="1" applyAlignment="1" applyProtection="1">
      <alignment horizontal="center"/>
    </xf>
    <xf numFmtId="0" fontId="43" fillId="4" borderId="8" xfId="0" applyFont="1" applyFill="1" applyBorder="1" applyAlignment="1" applyProtection="1">
      <alignment horizontal="center"/>
    </xf>
    <xf numFmtId="0" fontId="44" fillId="4" borderId="0" xfId="0" applyFont="1" applyFill="1" applyBorder="1" applyAlignment="1" applyProtection="1">
      <alignment horizontal="center"/>
    </xf>
    <xf numFmtId="0" fontId="52" fillId="4" borderId="7" xfId="0" applyFont="1" applyFill="1" applyBorder="1" applyAlignment="1" applyProtection="1">
      <alignment horizontal="center"/>
    </xf>
    <xf numFmtId="0" fontId="52" fillId="4" borderId="0" xfId="0" applyFont="1" applyFill="1" applyBorder="1" applyAlignment="1" applyProtection="1">
      <alignment horizontal="left"/>
    </xf>
    <xf numFmtId="0" fontId="52" fillId="4" borderId="0" xfId="0" applyFont="1" applyFill="1" applyBorder="1" applyAlignment="1" applyProtection="1">
      <alignment horizontal="center"/>
    </xf>
    <xf numFmtId="0" fontId="52" fillId="4" borderId="8" xfId="0" applyFont="1" applyFill="1" applyBorder="1" applyAlignment="1" applyProtection="1">
      <alignment horizontal="center"/>
    </xf>
    <xf numFmtId="0" fontId="53" fillId="4" borderId="0" xfId="0" applyFont="1" applyFill="1" applyBorder="1" applyAlignment="1" applyProtection="1">
      <alignment horizontal="center"/>
    </xf>
    <xf numFmtId="0" fontId="54" fillId="4" borderId="0" xfId="0" applyFont="1" applyFill="1" applyBorder="1" applyAlignment="1" applyProtection="1">
      <alignment horizontal="center"/>
    </xf>
    <xf numFmtId="0" fontId="52" fillId="7" borderId="0" xfId="0" applyFont="1" applyFill="1" applyBorder="1" applyAlignment="1" applyProtection="1">
      <alignment horizontal="center"/>
    </xf>
    <xf numFmtId="0" fontId="43" fillId="7" borderId="0" xfId="0" applyFont="1" applyFill="1" applyBorder="1" applyAlignment="1" applyProtection="1">
      <alignment horizontal="left"/>
    </xf>
    <xf numFmtId="0" fontId="59" fillId="4" borderId="0" xfId="0" applyFont="1" applyFill="1" applyBorder="1" applyAlignment="1" applyProtection="1">
      <alignment horizontal="left"/>
    </xf>
    <xf numFmtId="0" fontId="8" fillId="9" borderId="0" xfId="0" applyFont="1" applyFill="1" applyBorder="1"/>
    <xf numFmtId="0" fontId="10" fillId="9" borderId="0" xfId="0" applyFont="1" applyFill="1" applyBorder="1"/>
    <xf numFmtId="0" fontId="8" fillId="4" borderId="0" xfId="0" applyFont="1" applyFill="1" applyBorder="1" applyAlignment="1" applyProtection="1">
      <alignment horizontal="center"/>
    </xf>
    <xf numFmtId="0" fontId="60" fillId="4" borderId="5" xfId="0" applyFont="1" applyFill="1" applyBorder="1" applyAlignment="1" applyProtection="1">
      <alignment horizontal="center"/>
    </xf>
    <xf numFmtId="0" fontId="60" fillId="4" borderId="0" xfId="0" applyFont="1" applyFill="1" applyBorder="1" applyAlignment="1" applyProtection="1">
      <alignment horizontal="center"/>
    </xf>
    <xf numFmtId="0" fontId="61" fillId="4" borderId="0" xfId="0" applyFont="1" applyFill="1" applyBorder="1" applyAlignment="1" applyProtection="1">
      <alignment horizontal="center"/>
    </xf>
    <xf numFmtId="0" fontId="60" fillId="7" borderId="0" xfId="0" applyFont="1" applyFill="1" applyBorder="1" applyAlignment="1" applyProtection="1">
      <alignment horizontal="center"/>
    </xf>
    <xf numFmtId="0" fontId="9" fillId="9" borderId="0" xfId="0" applyFont="1" applyFill="1" applyBorder="1"/>
    <xf numFmtId="0" fontId="43" fillId="11" borderId="0" xfId="0" applyFont="1" applyFill="1" applyBorder="1" applyAlignment="1" applyProtection="1">
      <alignment horizontal="center"/>
    </xf>
    <xf numFmtId="0" fontId="52" fillId="11" borderId="0" xfId="0" applyFont="1" applyFill="1" applyBorder="1" applyAlignment="1" applyProtection="1">
      <alignment horizontal="center"/>
    </xf>
    <xf numFmtId="0" fontId="50" fillId="11" borderId="0" xfId="0" applyFont="1" applyFill="1" applyBorder="1" applyAlignment="1" applyProtection="1">
      <alignment horizontal="center"/>
    </xf>
    <xf numFmtId="0" fontId="43" fillId="11" borderId="0" xfId="0" applyFont="1" applyFill="1" applyBorder="1" applyAlignment="1" applyProtection="1">
      <alignment horizontal="left"/>
    </xf>
    <xf numFmtId="0" fontId="44" fillId="11" borderId="0" xfId="0" applyFont="1" applyFill="1" applyBorder="1" applyAlignment="1" applyProtection="1">
      <alignment horizontal="center"/>
    </xf>
    <xf numFmtId="0" fontId="60" fillId="11" borderId="0" xfId="0" applyFont="1" applyFill="1" applyBorder="1" applyAlignment="1" applyProtection="1">
      <alignment horizontal="center"/>
    </xf>
    <xf numFmtId="0" fontId="72" fillId="11" borderId="0" xfId="0" applyFont="1" applyFill="1" applyBorder="1" applyAlignment="1" applyProtection="1">
      <alignment horizontal="center"/>
    </xf>
    <xf numFmtId="0" fontId="72" fillId="11" borderId="0" xfId="0" applyFont="1" applyFill="1" applyBorder="1" applyAlignment="1" applyProtection="1"/>
    <xf numFmtId="0" fontId="76" fillId="11" borderId="0" xfId="0" applyFont="1" applyFill="1" applyBorder="1" applyAlignment="1" applyProtection="1">
      <alignment horizontal="center"/>
    </xf>
    <xf numFmtId="0" fontId="76" fillId="11" borderId="0" xfId="0" applyFont="1" applyFill="1" applyBorder="1" applyAlignment="1" applyProtection="1"/>
    <xf numFmtId="0" fontId="50" fillId="11" borderId="0" xfId="0" applyFont="1" applyFill="1" applyBorder="1" applyAlignment="1" applyProtection="1">
      <alignment horizontal="left"/>
    </xf>
    <xf numFmtId="0" fontId="51" fillId="11" borderId="0" xfId="0" applyFont="1" applyFill="1" applyBorder="1" applyAlignment="1" applyProtection="1">
      <alignment horizontal="center"/>
    </xf>
    <xf numFmtId="49" fontId="78" fillId="11" borderId="0" xfId="0" applyNumberFormat="1" applyFont="1" applyFill="1" applyBorder="1" applyAlignment="1" applyProtection="1">
      <alignment horizontal="left"/>
    </xf>
    <xf numFmtId="0" fontId="78" fillId="11" borderId="0" xfId="0" applyFont="1" applyFill="1" applyBorder="1" applyAlignment="1" applyProtection="1">
      <alignment horizontal="left"/>
    </xf>
    <xf numFmtId="10" fontId="79" fillId="0" borderId="0" xfId="0" applyNumberFormat="1" applyFont="1" applyBorder="1" applyAlignment="1">
      <alignment horizontal="left" vertical="top" wrapText="1"/>
    </xf>
    <xf numFmtId="0" fontId="8" fillId="7" borderId="0" xfId="0" applyFont="1" applyFill="1" applyBorder="1" applyAlignment="1" applyProtection="1">
      <alignment horizontal="center"/>
    </xf>
    <xf numFmtId="0" fontId="2" fillId="0" borderId="0" xfId="1" applyBorder="1" applyAlignment="1" applyProtection="1">
      <alignment horizontal="left"/>
    </xf>
    <xf numFmtId="0" fontId="62" fillId="0" borderId="0" xfId="0" applyFont="1" applyBorder="1" applyAlignment="1">
      <alignment horizontal="left"/>
    </xf>
    <xf numFmtId="0" fontId="80" fillId="8" borderId="0" xfId="0" applyNumberFormat="1" applyFont="1" applyFill="1" applyBorder="1" applyAlignment="1" applyProtection="1">
      <alignment horizontal="left"/>
      <protection locked="0"/>
    </xf>
    <xf numFmtId="0" fontId="62" fillId="8" borderId="0" xfId="0" applyFont="1" applyFill="1" applyBorder="1" applyAlignment="1" applyProtection="1">
      <alignment horizontal="left"/>
      <protection locked="0"/>
    </xf>
    <xf numFmtId="0" fontId="62" fillId="8" borderId="0" xfId="0" applyNumberFormat="1" applyFont="1" applyFill="1" applyBorder="1" applyAlignment="1" applyProtection="1">
      <alignment horizontal="left"/>
      <protection locked="0"/>
    </xf>
    <xf numFmtId="0" fontId="80" fillId="0" borderId="0" xfId="0" applyFont="1" applyBorder="1" applyAlignment="1" applyProtection="1">
      <alignment horizontal="left"/>
    </xf>
    <xf numFmtId="0" fontId="62" fillId="0" borderId="0" xfId="0" applyFont="1" applyBorder="1" applyAlignment="1" applyProtection="1">
      <alignment horizontal="left"/>
    </xf>
    <xf numFmtId="0" fontId="62" fillId="0" borderId="0" xfId="0" applyFont="1" applyFill="1" applyBorder="1" applyAlignment="1" applyProtection="1">
      <alignment horizontal="left"/>
    </xf>
    <xf numFmtId="3" fontId="62" fillId="8" borderId="0" xfId="0" applyNumberFormat="1" applyFont="1" applyFill="1" applyBorder="1" applyAlignment="1" applyProtection="1">
      <alignment horizontal="left"/>
      <protection locked="0"/>
    </xf>
    <xf numFmtId="0" fontId="64" fillId="0" borderId="0" xfId="0" applyFont="1" applyBorder="1" applyAlignment="1" applyProtection="1">
      <alignment horizontal="left"/>
    </xf>
    <xf numFmtId="0" fontId="62" fillId="12" borderId="0" xfId="0" applyFont="1" applyFill="1" applyBorder="1" applyAlignment="1" applyProtection="1">
      <alignment horizontal="left"/>
    </xf>
    <xf numFmtId="10" fontId="62" fillId="8" borderId="0" xfId="0" applyNumberFormat="1" applyFont="1" applyFill="1" applyBorder="1" applyAlignment="1" applyProtection="1">
      <alignment horizontal="left"/>
      <protection locked="0"/>
    </xf>
    <xf numFmtId="171" fontId="62" fillId="8" borderId="0" xfId="0" applyNumberFormat="1" applyFont="1" applyFill="1" applyBorder="1" applyAlignment="1" applyProtection="1">
      <alignment horizontal="left"/>
      <protection locked="0"/>
    </xf>
    <xf numFmtId="4" fontId="62" fillId="0" borderId="0" xfId="0" applyNumberFormat="1" applyFont="1" applyFill="1" applyBorder="1" applyAlignment="1" applyProtection="1">
      <alignment horizontal="left"/>
    </xf>
    <xf numFmtId="0" fontId="65" fillId="0" borderId="0" xfId="1" applyFont="1" applyBorder="1" applyAlignment="1" applyProtection="1">
      <alignment horizontal="left"/>
    </xf>
    <xf numFmtId="3" fontId="62" fillId="0" borderId="0" xfId="0" applyNumberFormat="1" applyFont="1" applyFill="1" applyBorder="1" applyAlignment="1" applyProtection="1">
      <alignment horizontal="left"/>
    </xf>
    <xf numFmtId="0" fontId="62" fillId="15" borderId="0" xfId="0" applyFont="1" applyFill="1" applyBorder="1" applyAlignment="1" applyProtection="1">
      <alignment horizontal="left"/>
    </xf>
    <xf numFmtId="10" fontId="62" fillId="10" borderId="0" xfId="0" applyNumberFormat="1" applyFont="1" applyFill="1" applyBorder="1" applyAlignment="1" applyProtection="1">
      <alignment horizontal="left"/>
      <protection locked="0"/>
    </xf>
    <xf numFmtId="9" fontId="62" fillId="0" borderId="0" xfId="0" applyNumberFormat="1" applyFont="1" applyBorder="1" applyAlignment="1" applyProtection="1">
      <alignment horizontal="left"/>
    </xf>
    <xf numFmtId="4" fontId="62" fillId="8" borderId="0" xfId="0" applyNumberFormat="1" applyFont="1" applyFill="1" applyBorder="1" applyAlignment="1" applyProtection="1">
      <alignment horizontal="left"/>
      <protection locked="0"/>
    </xf>
    <xf numFmtId="10" fontId="62" fillId="0" borderId="0" xfId="0" applyNumberFormat="1" applyFont="1" applyBorder="1" applyAlignment="1" applyProtection="1">
      <alignment horizontal="left"/>
    </xf>
    <xf numFmtId="9" fontId="62" fillId="0" borderId="0" xfId="0" applyNumberFormat="1" applyFont="1" applyFill="1" applyBorder="1" applyAlignment="1" applyProtection="1">
      <alignment horizontal="left"/>
    </xf>
    <xf numFmtId="0" fontId="62" fillId="16" borderId="0" xfId="0" applyFont="1" applyFill="1" applyBorder="1" applyAlignment="1" applyProtection="1">
      <alignment horizontal="left"/>
    </xf>
    <xf numFmtId="49" fontId="62" fillId="0" borderId="0" xfId="0" applyNumberFormat="1" applyFont="1" applyBorder="1" applyAlignment="1" applyProtection="1">
      <alignment horizontal="center"/>
    </xf>
    <xf numFmtId="3" fontId="65" fillId="0" borderId="0" xfId="1" applyNumberFormat="1" applyFont="1" applyFill="1" applyBorder="1" applyAlignment="1" applyProtection="1">
      <alignment horizontal="left"/>
    </xf>
    <xf numFmtId="0" fontId="62" fillId="14" borderId="0" xfId="0" applyFont="1" applyFill="1" applyBorder="1" applyAlignment="1" applyProtection="1">
      <alignment horizontal="left"/>
    </xf>
    <xf numFmtId="0" fontId="62" fillId="0" borderId="0" xfId="0" applyFont="1" applyBorder="1" applyAlignment="1" applyProtection="1">
      <alignment horizontal="right"/>
    </xf>
    <xf numFmtId="10" fontId="62" fillId="0" borderId="0" xfId="0" applyNumberFormat="1" applyFont="1" applyBorder="1" applyAlignment="1" applyProtection="1">
      <alignment horizontal="right"/>
    </xf>
    <xf numFmtId="2" fontId="62" fillId="8" borderId="0" xfId="0" applyNumberFormat="1" applyFont="1" applyFill="1" applyBorder="1" applyAlignment="1" applyProtection="1">
      <alignment horizontal="left"/>
      <protection locked="0"/>
    </xf>
    <xf numFmtId="0" fontId="81" fillId="0" borderId="0" xfId="0" applyFont="1" applyFill="1" applyBorder="1" applyAlignment="1" applyProtection="1">
      <alignment horizontal="left"/>
    </xf>
    <xf numFmtId="2" fontId="62" fillId="0" borderId="0" xfId="0" applyNumberFormat="1" applyFont="1" applyFill="1" applyBorder="1" applyAlignment="1" applyProtection="1">
      <alignment horizontal="left"/>
      <protection locked="0"/>
    </xf>
    <xf numFmtId="2" fontId="81" fillId="0" borderId="0" xfId="0" applyNumberFormat="1" applyFont="1" applyBorder="1" applyAlignment="1" applyProtection="1">
      <alignment horizontal="left"/>
    </xf>
    <xf numFmtId="172" fontId="62" fillId="8" borderId="0" xfId="0" applyNumberFormat="1" applyFont="1" applyFill="1" applyBorder="1" applyAlignment="1" applyProtection="1">
      <alignment horizontal="left"/>
      <protection locked="0"/>
    </xf>
    <xf numFmtId="2" fontId="62" fillId="0" borderId="0" xfId="0" applyNumberFormat="1" applyFont="1" applyBorder="1" applyAlignment="1" applyProtection="1">
      <alignment horizontal="left"/>
    </xf>
    <xf numFmtId="0" fontId="80" fillId="0" borderId="0" xfId="0" applyFont="1" applyBorder="1" applyAlignment="1">
      <alignment horizontal="left"/>
    </xf>
    <xf numFmtId="0" fontId="60" fillId="0" borderId="0" xfId="0" applyFont="1" applyBorder="1" applyAlignment="1" applyProtection="1">
      <alignment horizontal="left"/>
    </xf>
    <xf numFmtId="0" fontId="82" fillId="0" borderId="0" xfId="0" applyFont="1" applyBorder="1" applyAlignment="1" applyProtection="1">
      <alignment horizontal="left"/>
    </xf>
    <xf numFmtId="4" fontId="62" fillId="0" borderId="0" xfId="0" applyNumberFormat="1" applyFont="1" applyBorder="1" applyAlignment="1" applyProtection="1">
      <alignment horizontal="left"/>
    </xf>
    <xf numFmtId="3" fontId="62" fillId="10" borderId="0" xfId="0" applyNumberFormat="1" applyFont="1" applyFill="1" applyBorder="1" applyAlignment="1" applyProtection="1">
      <alignment horizontal="left"/>
    </xf>
    <xf numFmtId="0" fontId="83" fillId="0" borderId="0" xfId="0" applyFont="1" applyBorder="1" applyAlignment="1" applyProtection="1">
      <alignment horizontal="left"/>
    </xf>
    <xf numFmtId="0" fontId="83" fillId="0" borderId="0" xfId="0" applyFont="1" applyFill="1" applyBorder="1" applyAlignment="1" applyProtection="1">
      <alignment horizontal="left"/>
    </xf>
    <xf numFmtId="171" fontId="83" fillId="0" borderId="0" xfId="0" applyNumberFormat="1" applyFont="1" applyBorder="1" applyAlignment="1" applyProtection="1">
      <alignment horizontal="left"/>
    </xf>
    <xf numFmtId="3" fontId="83" fillId="0" borderId="0" xfId="0" applyNumberFormat="1" applyFont="1" applyFill="1" applyBorder="1" applyAlignment="1" applyProtection="1">
      <alignment horizontal="left"/>
    </xf>
    <xf numFmtId="171" fontId="62" fillId="0" borderId="0" xfId="0" applyNumberFormat="1" applyFont="1" applyBorder="1" applyAlignment="1" applyProtection="1">
      <alignment horizontal="left"/>
    </xf>
    <xf numFmtId="0" fontId="62" fillId="0" borderId="0" xfId="0" applyFont="1" applyAlignment="1" applyProtection="1">
      <alignment horizontal="left"/>
    </xf>
    <xf numFmtId="10" fontId="62" fillId="10" borderId="0" xfId="0" applyNumberFormat="1" applyFont="1" applyFill="1" applyBorder="1" applyAlignment="1" applyProtection="1">
      <alignment horizontal="left"/>
    </xf>
    <xf numFmtId="0" fontId="23" fillId="9" borderId="0" xfId="0" applyFont="1" applyFill="1"/>
    <xf numFmtId="0" fontId="23" fillId="9" borderId="0" xfId="0" applyFont="1" applyFill="1" applyBorder="1"/>
    <xf numFmtId="0" fontId="32" fillId="9" borderId="0" xfId="0" applyFont="1" applyFill="1" applyBorder="1"/>
    <xf numFmtId="0" fontId="48" fillId="9" borderId="0" xfId="0" applyFont="1" applyFill="1" applyBorder="1"/>
    <xf numFmtId="0" fontId="56" fillId="9" borderId="0" xfId="0" applyFont="1" applyFill="1" applyBorder="1" applyAlignment="1">
      <alignment horizontal="center"/>
    </xf>
    <xf numFmtId="0" fontId="32" fillId="9" borderId="0" xfId="0" applyFont="1" applyFill="1" applyBorder="1" applyAlignment="1">
      <alignment horizontal="right"/>
    </xf>
    <xf numFmtId="0" fontId="32" fillId="9" borderId="0" xfId="0" applyFont="1" applyFill="1"/>
    <xf numFmtId="0" fontId="70" fillId="9" borderId="0" xfId="0" applyFont="1" applyFill="1" applyBorder="1" applyAlignment="1">
      <alignment horizontal="left"/>
    </xf>
    <xf numFmtId="0" fontId="24" fillId="9" borderId="0" xfId="0" applyFont="1" applyFill="1" applyBorder="1" applyAlignment="1">
      <alignment horizontal="right"/>
    </xf>
    <xf numFmtId="0" fontId="24" fillId="9" borderId="0" xfId="0" applyFont="1" applyFill="1" applyBorder="1"/>
    <xf numFmtId="0" fontId="34" fillId="9" borderId="0" xfId="0" applyFont="1" applyFill="1" applyBorder="1"/>
    <xf numFmtId="0" fontId="9" fillId="9" borderId="0" xfId="0" applyFont="1" applyFill="1" applyBorder="1" applyAlignment="1">
      <alignment horizontal="center"/>
    </xf>
    <xf numFmtId="0" fontId="35" fillId="9" borderId="0" xfId="0" applyFont="1" applyFill="1" applyBorder="1"/>
    <xf numFmtId="10" fontId="8" fillId="9" borderId="0" xfId="0" applyNumberFormat="1" applyFont="1" applyFill="1" applyBorder="1" applyAlignment="1">
      <alignment horizontal="left"/>
    </xf>
    <xf numFmtId="0" fontId="8" fillId="9" borderId="27" xfId="0" applyFont="1" applyFill="1" applyBorder="1"/>
    <xf numFmtId="0" fontId="8" fillId="9" borderId="0" xfId="0" applyFont="1" applyFill="1"/>
    <xf numFmtId="166" fontId="8" fillId="9" borderId="0" xfId="0" applyNumberFormat="1" applyFont="1" applyFill="1" applyBorder="1"/>
    <xf numFmtId="0" fontId="68" fillId="9" borderId="0" xfId="0" applyFont="1" applyFill="1" applyBorder="1"/>
    <xf numFmtId="166" fontId="68" fillId="9" borderId="0" xfId="0" applyNumberFormat="1" applyFont="1" applyFill="1" applyBorder="1"/>
    <xf numFmtId="0" fontId="66" fillId="9" borderId="0" xfId="0" applyFont="1" applyFill="1" applyBorder="1"/>
    <xf numFmtId="0" fontId="67" fillId="9" borderId="0" xfId="0" applyFont="1" applyFill="1" applyBorder="1"/>
    <xf numFmtId="0" fontId="24" fillId="9" borderId="0" xfId="0" applyFont="1" applyFill="1" applyAlignment="1">
      <alignment horizontal="right"/>
    </xf>
    <xf numFmtId="0" fontId="2" fillId="9" borderId="0" xfId="1" applyFill="1" applyBorder="1" applyAlignment="1" applyProtection="1"/>
    <xf numFmtId="0" fontId="36" fillId="9" borderId="0" xfId="1" applyFont="1" applyFill="1" applyBorder="1" applyAlignment="1" applyProtection="1"/>
    <xf numFmtId="0" fontId="23" fillId="9" borderId="28" xfId="0" applyFont="1" applyFill="1" applyBorder="1"/>
    <xf numFmtId="0" fontId="23" fillId="9" borderId="29" xfId="0" applyFont="1" applyFill="1" applyBorder="1"/>
    <xf numFmtId="0" fontId="23" fillId="9" borderId="30" xfId="0" applyFont="1" applyFill="1" applyBorder="1"/>
    <xf numFmtId="0" fontId="23" fillId="9" borderId="31" xfId="0" applyFont="1" applyFill="1" applyBorder="1"/>
    <xf numFmtId="0" fontId="23" fillId="9" borderId="32" xfId="0" applyFont="1" applyFill="1" applyBorder="1"/>
    <xf numFmtId="0" fontId="32" fillId="9" borderId="31" xfId="0" applyFont="1" applyFill="1" applyBorder="1"/>
    <xf numFmtId="0" fontId="32" fillId="9" borderId="32" xfId="0" applyFont="1" applyFill="1" applyBorder="1"/>
    <xf numFmtId="0" fontId="34" fillId="9" borderId="32" xfId="0" applyFont="1" applyFill="1" applyBorder="1"/>
    <xf numFmtId="0" fontId="8" fillId="9" borderId="31" xfId="0" applyFont="1" applyFill="1" applyBorder="1"/>
    <xf numFmtId="0" fontId="8" fillId="9" borderId="32" xfId="0" applyFont="1" applyFill="1" applyBorder="1"/>
    <xf numFmtId="0" fontId="64" fillId="9" borderId="0" xfId="0" applyFont="1" applyFill="1" applyBorder="1"/>
    <xf numFmtId="0" fontId="62" fillId="9" borderId="0" xfId="0" applyFont="1" applyFill="1" applyBorder="1"/>
    <xf numFmtId="0" fontId="9" fillId="9" borderId="31" xfId="0" applyFont="1" applyFill="1" applyBorder="1" applyAlignment="1">
      <alignment horizontal="right"/>
    </xf>
    <xf numFmtId="0" fontId="20" fillId="9" borderId="32" xfId="0" applyFont="1" applyFill="1" applyBorder="1" applyAlignment="1" applyProtection="1">
      <alignment horizontal="right"/>
    </xf>
    <xf numFmtId="0" fontId="8" fillId="9" borderId="33" xfId="0" applyFont="1" applyFill="1" applyBorder="1"/>
    <xf numFmtId="0" fontId="9" fillId="9" borderId="34" xfId="0" applyFont="1" applyFill="1" applyBorder="1"/>
    <xf numFmtId="0" fontId="8" fillId="9" borderId="34" xfId="0" applyFont="1" applyFill="1" applyBorder="1"/>
    <xf numFmtId="0" fontId="65" fillId="9" borderId="34" xfId="1" applyFont="1" applyFill="1" applyBorder="1" applyAlignment="1" applyProtection="1"/>
    <xf numFmtId="0" fontId="23" fillId="9" borderId="35" xfId="0" applyFont="1" applyFill="1" applyBorder="1"/>
    <xf numFmtId="0" fontId="85" fillId="0" borderId="0"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1" fontId="9" fillId="0" borderId="0" xfId="0" applyNumberFormat="1" applyFont="1" applyFill="1" applyBorder="1" applyAlignment="1" applyProtection="1">
      <alignment horizontal="left" vertical="center"/>
    </xf>
    <xf numFmtId="49" fontId="8" fillId="0" borderId="0" xfId="0" applyNumberFormat="1" applyFont="1" applyFill="1" applyBorder="1" applyAlignment="1" applyProtection="1">
      <alignment horizontal="left" vertical="center"/>
    </xf>
    <xf numFmtId="3" fontId="8" fillId="8" borderId="0" xfId="0" applyNumberFormat="1" applyFont="1" applyFill="1" applyBorder="1" applyAlignment="1" applyProtection="1">
      <alignment horizontal="left"/>
      <protection locked="0"/>
    </xf>
    <xf numFmtId="3" fontId="8" fillId="0" borderId="0" xfId="0" applyNumberFormat="1" applyFont="1" applyFill="1" applyBorder="1" applyAlignment="1" applyProtection="1">
      <alignment horizontal="center"/>
    </xf>
    <xf numFmtId="3" fontId="8" fillId="10" borderId="0" xfId="0" applyNumberFormat="1" applyFont="1" applyFill="1" applyBorder="1" applyAlignment="1" applyProtection="1">
      <alignment horizontal="left"/>
      <protection locked="0"/>
    </xf>
    <xf numFmtId="0" fontId="8" fillId="0" borderId="0" xfId="0" applyFont="1" applyFill="1" applyBorder="1" applyAlignment="1" applyProtection="1">
      <alignment horizontal="left"/>
    </xf>
    <xf numFmtId="3" fontId="87" fillId="10" borderId="0" xfId="0" applyNumberFormat="1" applyFont="1" applyFill="1" applyBorder="1" applyAlignment="1" applyProtection="1">
      <alignment horizontal="left"/>
      <protection locked="0"/>
    </xf>
    <xf numFmtId="3" fontId="9" fillId="10" borderId="0" xfId="0" applyNumberFormat="1" applyFont="1" applyFill="1" applyBorder="1" applyAlignment="1" applyProtection="1">
      <alignment horizontal="left"/>
      <protection locked="0"/>
    </xf>
    <xf numFmtId="3" fontId="71" fillId="10" borderId="0" xfId="0" applyNumberFormat="1" applyFont="1" applyFill="1" applyBorder="1" applyAlignment="1" applyProtection="1">
      <alignment horizontal="left"/>
      <protection locked="0"/>
    </xf>
    <xf numFmtId="0" fontId="8" fillId="0" borderId="0" xfId="0" applyFont="1" applyFill="1" applyAlignment="1" applyProtection="1">
      <alignment horizontal="left" vertical="center"/>
    </xf>
    <xf numFmtId="3" fontId="88" fillId="10" borderId="0" xfId="0" applyNumberFormat="1" applyFont="1" applyFill="1" applyBorder="1" applyAlignment="1" applyProtection="1">
      <alignment horizontal="left"/>
      <protection locked="0"/>
    </xf>
    <xf numFmtId="3" fontId="63" fillId="10" borderId="0" xfId="0" applyNumberFormat="1" applyFont="1" applyFill="1" applyBorder="1" applyAlignment="1" applyProtection="1">
      <alignment horizontal="left"/>
      <protection locked="0"/>
    </xf>
    <xf numFmtId="0" fontId="89" fillId="9" borderId="0" xfId="0" applyFont="1" applyFill="1" applyBorder="1"/>
    <xf numFmtId="2" fontId="62" fillId="10" borderId="0" xfId="0" applyNumberFormat="1" applyFont="1" applyFill="1" applyBorder="1" applyAlignment="1" applyProtection="1">
      <alignment horizontal="left"/>
      <protection locked="0"/>
    </xf>
    <xf numFmtId="9" fontId="62" fillId="10" borderId="0" xfId="0" applyNumberFormat="1" applyFont="1" applyFill="1" applyBorder="1" applyAlignment="1" applyProtection="1">
      <alignment horizontal="left"/>
      <protection locked="0"/>
    </xf>
    <xf numFmtId="3" fontId="62" fillId="0" borderId="0" xfId="0" applyNumberFormat="1" applyFont="1" applyBorder="1" applyAlignment="1">
      <alignment horizontal="left"/>
    </xf>
    <xf numFmtId="0" fontId="93" fillId="0" borderId="0" xfId="0" applyFont="1" applyBorder="1" applyAlignment="1">
      <alignment horizontal="center"/>
    </xf>
    <xf numFmtId="0" fontId="93" fillId="0" borderId="0" xfId="0" applyFont="1" applyBorder="1" applyAlignment="1" applyProtection="1">
      <alignment horizontal="center"/>
    </xf>
    <xf numFmtId="3" fontId="93" fillId="0" borderId="0" xfId="0" applyNumberFormat="1" applyFont="1" applyBorder="1" applyAlignment="1">
      <alignment horizontal="center"/>
    </xf>
    <xf numFmtId="0" fontId="91" fillId="11" borderId="0" xfId="0" applyFont="1" applyFill="1" applyBorder="1" applyAlignment="1" applyProtection="1">
      <alignment horizontal="center"/>
    </xf>
    <xf numFmtId="0" fontId="91" fillId="4" borderId="7" xfId="0" applyFont="1" applyFill="1" applyBorder="1" applyAlignment="1" applyProtection="1">
      <alignment horizontal="center"/>
    </xf>
    <xf numFmtId="0" fontId="91" fillId="4" borderId="0" xfId="0" applyFont="1" applyFill="1" applyBorder="1" applyAlignment="1" applyProtection="1">
      <alignment horizontal="left"/>
    </xf>
    <xf numFmtId="0" fontId="90" fillId="4" borderId="0" xfId="0" applyFont="1" applyFill="1" applyBorder="1" applyAlignment="1" applyProtection="1">
      <alignment horizontal="center"/>
    </xf>
    <xf numFmtId="0" fontId="92" fillId="4" borderId="0" xfId="0" applyFont="1" applyFill="1" applyBorder="1" applyAlignment="1" applyProtection="1">
      <alignment horizontal="center"/>
    </xf>
    <xf numFmtId="166" fontId="91" fillId="4" borderId="0" xfId="0" applyNumberFormat="1" applyFont="1" applyFill="1" applyBorder="1" applyAlignment="1" applyProtection="1">
      <alignment horizontal="center"/>
    </xf>
    <xf numFmtId="0" fontId="95" fillId="4" borderId="0" xfId="0" applyFont="1" applyFill="1" applyBorder="1" applyAlignment="1" applyProtection="1">
      <alignment horizontal="center"/>
    </xf>
    <xf numFmtId="0" fontId="96" fillId="4" borderId="0" xfId="0" applyFont="1" applyFill="1" applyBorder="1" applyAlignment="1" applyProtection="1">
      <alignment horizontal="center"/>
    </xf>
    <xf numFmtId="0" fontId="91" fillId="4" borderId="8" xfId="0" applyFont="1" applyFill="1" applyBorder="1" applyAlignment="1" applyProtection="1">
      <alignment horizontal="center"/>
    </xf>
    <xf numFmtId="0" fontId="97" fillId="11" borderId="0" xfId="0" applyFont="1" applyFill="1" applyBorder="1" applyAlignment="1" applyProtection="1">
      <alignment horizontal="center"/>
    </xf>
    <xf numFmtId="0" fontId="97" fillId="11" borderId="0" xfId="0" applyFont="1" applyFill="1" applyBorder="1" applyAlignment="1" applyProtection="1"/>
    <xf numFmtId="0" fontId="91" fillId="7" borderId="0" xfId="0" applyFont="1" applyFill="1" applyBorder="1" applyAlignment="1" applyProtection="1">
      <alignment horizontal="center"/>
    </xf>
    <xf numFmtId="0" fontId="98" fillId="11" borderId="0" xfId="0" applyFont="1" applyFill="1" applyBorder="1" applyAlignment="1" applyProtection="1">
      <alignment horizontal="center"/>
    </xf>
    <xf numFmtId="0" fontId="98" fillId="4" borderId="7" xfId="0" applyFont="1" applyFill="1" applyBorder="1" applyAlignment="1" applyProtection="1">
      <alignment horizontal="center"/>
    </xf>
    <xf numFmtId="0" fontId="98" fillId="4" borderId="0" xfId="0" applyFont="1" applyFill="1" applyBorder="1" applyAlignment="1" applyProtection="1">
      <alignment horizontal="center"/>
    </xf>
    <xf numFmtId="0" fontId="99" fillId="4" borderId="0" xfId="0" applyFont="1" applyFill="1" applyBorder="1" applyProtection="1"/>
    <xf numFmtId="0" fontId="96" fillId="9" borderId="0" xfId="0" applyFont="1" applyFill="1" applyBorder="1" applyAlignment="1" applyProtection="1">
      <alignment horizontal="center"/>
    </xf>
    <xf numFmtId="0" fontId="98" fillId="9" borderId="0" xfId="0" applyFont="1" applyFill="1" applyBorder="1" applyAlignment="1" applyProtection="1">
      <alignment horizontal="center"/>
    </xf>
    <xf numFmtId="0" fontId="98" fillId="4" borderId="8" xfId="0" applyFont="1" applyFill="1" applyBorder="1" applyAlignment="1" applyProtection="1">
      <alignment horizontal="center"/>
    </xf>
    <xf numFmtId="0" fontId="97" fillId="11" borderId="0" xfId="0" applyFont="1" applyFill="1" applyBorder="1" applyAlignment="1" applyProtection="1">
      <alignment horizontal="left"/>
    </xf>
    <xf numFmtId="0" fontId="98" fillId="7" borderId="0" xfId="0" applyFont="1" applyFill="1" applyBorder="1" applyAlignment="1" applyProtection="1">
      <alignment horizontal="center"/>
    </xf>
    <xf numFmtId="0" fontId="101" fillId="4" borderId="0" xfId="0" applyFont="1" applyFill="1" applyBorder="1" applyAlignment="1" applyProtection="1">
      <alignment horizontal="center"/>
    </xf>
    <xf numFmtId="0" fontId="101" fillId="9" borderId="0" xfId="0" applyFont="1" applyFill="1" applyBorder="1" applyProtection="1"/>
    <xf numFmtId="0" fontId="101" fillId="4" borderId="0" xfId="0" applyFont="1" applyFill="1" applyBorder="1" applyAlignment="1" applyProtection="1">
      <alignment horizontal="left"/>
    </xf>
    <xf numFmtId="0" fontId="102" fillId="4" borderId="0" xfId="0" applyFont="1" applyFill="1" applyBorder="1" applyAlignment="1" applyProtection="1">
      <alignment horizontal="center"/>
    </xf>
    <xf numFmtId="0" fontId="102" fillId="9" borderId="0" xfId="0" applyFont="1" applyFill="1" applyBorder="1" applyAlignment="1" applyProtection="1">
      <alignment horizontal="center"/>
    </xf>
    <xf numFmtId="0" fontId="97" fillId="11" borderId="0" xfId="0" applyFont="1" applyFill="1" applyBorder="1" applyProtection="1"/>
    <xf numFmtId="0" fontId="92" fillId="9" borderId="0" xfId="0" applyFont="1" applyFill="1" applyBorder="1" applyAlignment="1" applyProtection="1">
      <alignment horizontal="center"/>
    </xf>
    <xf numFmtId="14" fontId="97" fillId="11" borderId="0" xfId="0" applyNumberFormat="1" applyFont="1" applyFill="1" applyBorder="1" applyAlignment="1" applyProtection="1">
      <alignment horizontal="center"/>
    </xf>
    <xf numFmtId="0" fontId="104" fillId="11" borderId="0" xfId="0" applyFont="1" applyFill="1" applyBorder="1" applyAlignment="1" applyProtection="1">
      <alignment horizontal="center"/>
    </xf>
    <xf numFmtId="0" fontId="103" fillId="4" borderId="0" xfId="0" applyFont="1" applyFill="1" applyBorder="1" applyAlignment="1" applyProtection="1">
      <alignment horizontal="center"/>
    </xf>
    <xf numFmtId="0" fontId="91" fillId="7" borderId="1" xfId="0" applyFont="1" applyFill="1" applyBorder="1" applyAlignment="1" applyProtection="1">
      <alignment horizontal="center"/>
    </xf>
    <xf numFmtId="0" fontId="91" fillId="7" borderId="1" xfId="0" applyFont="1" applyFill="1" applyBorder="1" applyAlignment="1" applyProtection="1">
      <alignment horizontal="left"/>
    </xf>
    <xf numFmtId="0" fontId="92" fillId="7" borderId="1" xfId="0" applyFont="1" applyFill="1" applyBorder="1" applyAlignment="1" applyProtection="1">
      <alignment horizontal="center"/>
    </xf>
    <xf numFmtId="0" fontId="95" fillId="7" borderId="1" xfId="0" applyFont="1" applyFill="1" applyBorder="1" applyAlignment="1" applyProtection="1">
      <alignment horizontal="center"/>
    </xf>
    <xf numFmtId="0" fontId="103" fillId="7" borderId="1" xfId="0" applyFont="1" applyFill="1" applyBorder="1" applyAlignment="1" applyProtection="1">
      <alignment horizontal="center"/>
    </xf>
    <xf numFmtId="0" fontId="102" fillId="7" borderId="1" xfId="0" applyFont="1" applyFill="1" applyBorder="1" applyAlignment="1" applyProtection="1">
      <alignment horizontal="center"/>
    </xf>
    <xf numFmtId="0" fontId="91" fillId="4" borderId="1" xfId="0" applyFont="1" applyFill="1" applyBorder="1" applyAlignment="1" applyProtection="1">
      <alignment horizontal="left"/>
      <protection locked="0"/>
    </xf>
    <xf numFmtId="14" fontId="91" fillId="4" borderId="1" xfId="0" applyNumberFormat="1" applyFont="1" applyFill="1" applyBorder="1" applyAlignment="1" applyProtection="1">
      <alignment horizontal="center"/>
      <protection locked="0"/>
    </xf>
    <xf numFmtId="0" fontId="91" fillId="4" borderId="1" xfId="0" applyFont="1" applyFill="1" applyBorder="1" applyAlignment="1" applyProtection="1">
      <alignment horizontal="center"/>
      <protection locked="0"/>
    </xf>
    <xf numFmtId="170" fontId="91" fillId="4" borderId="1" xfId="0" applyNumberFormat="1" applyFont="1" applyFill="1" applyBorder="1" applyAlignment="1" applyProtection="1">
      <alignment horizontal="center"/>
      <protection locked="0"/>
    </xf>
    <xf numFmtId="0" fontId="91" fillId="4" borderId="1" xfId="2" applyNumberFormat="1" applyFont="1" applyFill="1" applyBorder="1" applyAlignment="1" applyProtection="1">
      <alignment horizontal="center"/>
      <protection locked="0"/>
    </xf>
    <xf numFmtId="176" fontId="90" fillId="13" borderId="1" xfId="0" applyNumberFormat="1" applyFont="1" applyFill="1" applyBorder="1" applyAlignment="1" applyProtection="1">
      <alignment horizontal="center"/>
    </xf>
    <xf numFmtId="176" fontId="91" fillId="13" borderId="1" xfId="0" applyNumberFormat="1" applyFont="1" applyFill="1" applyBorder="1" applyAlignment="1" applyProtection="1">
      <alignment horizontal="center"/>
    </xf>
    <xf numFmtId="173" fontId="90" fillId="13" borderId="1" xfId="2" applyNumberFormat="1" applyFont="1" applyFill="1" applyBorder="1" applyAlignment="1" applyProtection="1">
      <alignment horizontal="center"/>
    </xf>
    <xf numFmtId="1" fontId="97" fillId="11" borderId="0" xfId="0" applyNumberFormat="1" applyFont="1" applyFill="1" applyBorder="1" applyAlignment="1" applyProtection="1">
      <alignment horizontal="center"/>
    </xf>
    <xf numFmtId="9" fontId="97" fillId="11" borderId="0" xfId="0" applyNumberFormat="1" applyFont="1" applyFill="1" applyBorder="1" applyAlignment="1" applyProtection="1">
      <alignment horizontal="center"/>
    </xf>
    <xf numFmtId="10" fontId="97" fillId="11" borderId="0" xfId="0" applyNumberFormat="1" applyFont="1" applyFill="1" applyBorder="1" applyAlignment="1" applyProtection="1">
      <alignment horizontal="center"/>
    </xf>
    <xf numFmtId="2" fontId="97" fillId="11" borderId="0" xfId="0" applyNumberFormat="1" applyFont="1" applyFill="1" applyBorder="1" applyAlignment="1" applyProtection="1">
      <alignment horizontal="center"/>
    </xf>
    <xf numFmtId="166" fontId="97" fillId="11" borderId="0" xfId="0" applyNumberFormat="1" applyFont="1" applyFill="1" applyBorder="1" applyAlignment="1" applyProtection="1">
      <alignment horizontal="left"/>
    </xf>
    <xf numFmtId="166" fontId="97" fillId="11" borderId="0" xfId="0" applyNumberFormat="1" applyFont="1" applyFill="1" applyBorder="1" applyAlignment="1" applyProtection="1">
      <alignment horizontal="right"/>
    </xf>
    <xf numFmtId="166" fontId="97" fillId="11" borderId="0" xfId="0" applyNumberFormat="1" applyFont="1" applyFill="1" applyBorder="1" applyProtection="1"/>
    <xf numFmtId="177" fontId="97" fillId="11" borderId="0" xfId="0" applyNumberFormat="1" applyFont="1" applyFill="1" applyBorder="1" applyProtection="1"/>
    <xf numFmtId="0" fontId="96" fillId="7" borderId="1" xfId="0" applyFont="1" applyFill="1" applyBorder="1" applyAlignment="1" applyProtection="1">
      <alignment horizontal="center"/>
    </xf>
    <xf numFmtId="0" fontId="91" fillId="4" borderId="2" xfId="0" applyFont="1" applyFill="1" applyBorder="1" applyAlignment="1" applyProtection="1">
      <alignment horizontal="center"/>
    </xf>
    <xf numFmtId="0" fontId="91" fillId="4" borderId="3" xfId="0" applyFont="1" applyFill="1" applyBorder="1" applyAlignment="1" applyProtection="1">
      <alignment horizontal="center"/>
    </xf>
    <xf numFmtId="0" fontId="91" fillId="4" borderId="3" xfId="0" applyFont="1" applyFill="1" applyBorder="1" applyAlignment="1" applyProtection="1">
      <alignment horizontal="left"/>
    </xf>
    <xf numFmtId="0" fontId="92" fillId="4" borderId="3" xfId="0" applyFont="1" applyFill="1" applyBorder="1" applyAlignment="1" applyProtection="1">
      <alignment horizontal="center"/>
    </xf>
    <xf numFmtId="0" fontId="95" fillId="4" borderId="3" xfId="0" applyFont="1" applyFill="1" applyBorder="1" applyAlignment="1" applyProtection="1">
      <alignment horizontal="center"/>
    </xf>
    <xf numFmtId="0" fontId="96" fillId="4" borderId="3" xfId="0" applyFont="1" applyFill="1" applyBorder="1" applyAlignment="1" applyProtection="1">
      <alignment horizontal="center"/>
    </xf>
    <xf numFmtId="0" fontId="91" fillId="4" borderId="9" xfId="0" applyFont="1" applyFill="1" applyBorder="1" applyAlignment="1" applyProtection="1">
      <alignment horizontal="center"/>
    </xf>
    <xf numFmtId="176" fontId="91" fillId="10" borderId="1" xfId="0" applyNumberFormat="1" applyFont="1" applyFill="1" applyBorder="1" applyAlignment="1" applyProtection="1">
      <alignment horizontal="center"/>
    </xf>
    <xf numFmtId="176" fontId="92" fillId="10" borderId="1" xfId="0" applyNumberFormat="1" applyFont="1" applyFill="1" applyBorder="1" applyAlignment="1" applyProtection="1">
      <alignment horizontal="center"/>
    </xf>
    <xf numFmtId="176" fontId="103" fillId="10" borderId="1" xfId="0" applyNumberFormat="1" applyFont="1" applyFill="1" applyBorder="1" applyAlignment="1" applyProtection="1">
      <alignment horizontal="center"/>
    </xf>
    <xf numFmtId="0" fontId="8" fillId="11" borderId="0" xfId="0" applyFont="1" applyFill="1" applyBorder="1" applyAlignment="1" applyProtection="1">
      <alignment horizontal="center"/>
    </xf>
    <xf numFmtId="0" fontId="8" fillId="4" borderId="5" xfId="0" applyFont="1" applyFill="1" applyBorder="1" applyAlignment="1" applyProtection="1">
      <alignment horizontal="center"/>
    </xf>
    <xf numFmtId="0" fontId="45" fillId="11" borderId="0" xfId="0" applyFont="1" applyFill="1" applyBorder="1" applyAlignment="1" applyProtection="1">
      <alignment horizontal="center"/>
    </xf>
    <xf numFmtId="173" fontId="91" fillId="13" borderId="1" xfId="2" applyNumberFormat="1" applyFont="1" applyFill="1" applyBorder="1" applyAlignment="1" applyProtection="1">
      <alignment horizontal="center"/>
    </xf>
    <xf numFmtId="9" fontId="8" fillId="0" borderId="0" xfId="0" applyNumberFormat="1" applyFont="1" applyFill="1" applyBorder="1" applyAlignment="1" applyProtection="1">
      <alignment horizontal="center"/>
    </xf>
    <xf numFmtId="0" fontId="9" fillId="0" borderId="0" xfId="0" applyFont="1" applyFill="1" applyBorder="1" applyAlignment="1" applyProtection="1">
      <alignment horizontal="left"/>
    </xf>
    <xf numFmtId="9" fontId="8" fillId="10" borderId="0" xfId="0" applyNumberFormat="1" applyFont="1" applyFill="1" applyBorder="1" applyAlignment="1" applyProtection="1">
      <alignment horizontal="center"/>
    </xf>
    <xf numFmtId="14" fontId="8" fillId="0" borderId="0" xfId="0" applyNumberFormat="1" applyFont="1" applyFill="1" applyBorder="1" applyProtection="1"/>
    <xf numFmtId="0" fontId="7" fillId="11" borderId="0" xfId="0" applyFont="1" applyFill="1" applyAlignment="1" applyProtection="1">
      <alignment vertical="top"/>
    </xf>
    <xf numFmtId="0" fontId="7" fillId="4" borderId="28" xfId="0" applyFont="1" applyFill="1" applyBorder="1" applyAlignment="1" applyProtection="1">
      <alignment vertical="top"/>
    </xf>
    <xf numFmtId="0" fontId="7" fillId="4" borderId="29" xfId="0" applyFont="1" applyFill="1" applyBorder="1" applyAlignment="1" applyProtection="1">
      <alignment vertical="top"/>
    </xf>
    <xf numFmtId="0" fontId="7" fillId="4" borderId="30" xfId="0" applyFont="1" applyFill="1" applyBorder="1" applyAlignment="1" applyProtection="1">
      <alignment vertical="top"/>
    </xf>
    <xf numFmtId="0" fontId="7" fillId="7" borderId="0" xfId="0" applyFont="1" applyFill="1" applyAlignment="1" applyProtection="1">
      <alignment vertical="top"/>
    </xf>
    <xf numFmtId="0" fontId="7" fillId="4" borderId="31" xfId="0" applyFont="1" applyFill="1" applyBorder="1" applyAlignment="1" applyProtection="1">
      <alignment vertical="top"/>
    </xf>
    <xf numFmtId="0" fontId="7" fillId="4" borderId="0" xfId="0" applyFont="1" applyFill="1" applyBorder="1" applyAlignment="1" applyProtection="1">
      <alignment vertical="top"/>
    </xf>
    <xf numFmtId="0" fontId="7" fillId="4" borderId="32" xfId="0" applyFont="1" applyFill="1" applyBorder="1" applyAlignment="1" applyProtection="1">
      <alignment vertical="top"/>
    </xf>
    <xf numFmtId="0" fontId="57" fillId="11" borderId="0" xfId="0" applyFont="1" applyFill="1" applyAlignment="1" applyProtection="1">
      <alignment vertical="top"/>
    </xf>
    <xf numFmtId="0" fontId="57" fillId="4" borderId="31" xfId="0" applyFont="1" applyFill="1" applyBorder="1" applyAlignment="1" applyProtection="1">
      <alignment vertical="top"/>
    </xf>
    <xf numFmtId="0" fontId="77" fillId="4" borderId="0" xfId="0" applyFont="1" applyFill="1" applyBorder="1" applyAlignment="1" applyProtection="1">
      <alignment vertical="top"/>
    </xf>
    <xf numFmtId="0" fontId="57" fillId="4" borderId="0" xfId="0" applyFont="1" applyFill="1" applyBorder="1" applyAlignment="1" applyProtection="1">
      <alignment vertical="top"/>
    </xf>
    <xf numFmtId="0" fontId="57" fillId="4" borderId="32" xfId="0" applyFont="1" applyFill="1" applyBorder="1" applyAlignment="1" applyProtection="1">
      <alignment vertical="top"/>
    </xf>
    <xf numFmtId="0" fontId="57" fillId="7" borderId="0" xfId="0" applyFont="1" applyFill="1" applyAlignment="1" applyProtection="1">
      <alignment vertical="top"/>
    </xf>
    <xf numFmtId="0" fontId="55" fillId="11" borderId="0" xfId="0" applyFont="1" applyFill="1" applyAlignment="1" applyProtection="1">
      <alignment vertical="top"/>
    </xf>
    <xf numFmtId="0" fontId="55" fillId="4" borderId="31" xfId="0" applyFont="1" applyFill="1" applyBorder="1" applyAlignment="1" applyProtection="1">
      <alignment vertical="top"/>
    </xf>
    <xf numFmtId="0" fontId="29" fillId="4" borderId="0" xfId="0" applyFont="1" applyFill="1" applyBorder="1" applyAlignment="1" applyProtection="1">
      <alignment vertical="top"/>
    </xf>
    <xf numFmtId="0" fontId="55" fillId="4" borderId="0" xfId="0" applyFont="1" applyFill="1" applyBorder="1" applyAlignment="1" applyProtection="1">
      <alignment vertical="top"/>
    </xf>
    <xf numFmtId="0" fontId="55" fillId="4" borderId="32" xfId="0" applyFont="1" applyFill="1" applyBorder="1" applyAlignment="1" applyProtection="1">
      <alignment vertical="top"/>
    </xf>
    <xf numFmtId="0" fontId="55" fillId="7" borderId="0" xfId="0" applyFont="1" applyFill="1" applyAlignment="1" applyProtection="1">
      <alignment vertical="top"/>
    </xf>
    <xf numFmtId="0" fontId="8" fillId="11" borderId="0" xfId="0" applyFont="1" applyFill="1" applyAlignment="1" applyProtection="1">
      <alignment vertical="top"/>
    </xf>
    <xf numFmtId="0" fontId="8" fillId="4" borderId="31" xfId="0" applyFont="1" applyFill="1" applyBorder="1" applyAlignment="1" applyProtection="1">
      <alignment vertical="top"/>
    </xf>
    <xf numFmtId="0" fontId="8" fillId="11" borderId="37" xfId="0" applyFont="1" applyFill="1" applyBorder="1" applyAlignment="1" applyProtection="1">
      <alignment vertical="top"/>
    </xf>
    <xf numFmtId="0" fontId="46" fillId="11" borderId="37" xfId="0" applyFont="1" applyFill="1" applyBorder="1" applyAlignment="1" applyProtection="1">
      <alignment vertical="top"/>
    </xf>
    <xf numFmtId="0" fontId="8" fillId="4" borderId="0" xfId="0" applyFont="1" applyFill="1" applyBorder="1" applyAlignment="1" applyProtection="1">
      <alignment vertical="top"/>
    </xf>
    <xf numFmtId="0" fontId="9" fillId="11" borderId="37" xfId="0" applyFont="1" applyFill="1" applyBorder="1" applyAlignment="1" applyProtection="1">
      <alignment vertical="top"/>
    </xf>
    <xf numFmtId="1" fontId="8" fillId="11" borderId="37" xfId="0" applyNumberFormat="1" applyFont="1" applyFill="1" applyBorder="1" applyAlignment="1" applyProtection="1">
      <alignment vertical="top"/>
    </xf>
    <xf numFmtId="0" fontId="8" fillId="4" borderId="32" xfId="0" applyFont="1" applyFill="1" applyBorder="1" applyAlignment="1" applyProtection="1">
      <alignment vertical="top"/>
    </xf>
    <xf numFmtId="0" fontId="8" fillId="7" borderId="0" xfId="0" applyFont="1" applyFill="1" applyAlignment="1" applyProtection="1">
      <alignment vertical="top"/>
    </xf>
    <xf numFmtId="0" fontId="16" fillId="11" borderId="37" xfId="0" applyFont="1" applyFill="1" applyBorder="1" applyAlignment="1" applyProtection="1">
      <alignment vertical="top"/>
    </xf>
    <xf numFmtId="0" fontId="7" fillId="11" borderId="37" xfId="0" applyFont="1" applyFill="1" applyBorder="1" applyAlignment="1" applyProtection="1">
      <alignment vertical="top"/>
    </xf>
    <xf numFmtId="0" fontId="75" fillId="11" borderId="37" xfId="0" applyFont="1" applyFill="1" applyBorder="1" applyAlignment="1" applyProtection="1">
      <alignment vertical="top"/>
    </xf>
    <xf numFmtId="0" fontId="45" fillId="11" borderId="37" xfId="0" applyFont="1" applyFill="1" applyBorder="1" applyAlignment="1" applyProtection="1">
      <alignment vertical="top"/>
    </xf>
    <xf numFmtId="0" fontId="35" fillId="11" borderId="37" xfId="0" applyFont="1" applyFill="1" applyBorder="1" applyAlignment="1" applyProtection="1">
      <alignment vertical="top"/>
    </xf>
    <xf numFmtId="0" fontId="105" fillId="11" borderId="37" xfId="0" applyFont="1" applyFill="1" applyBorder="1" applyAlignment="1" applyProtection="1">
      <alignment vertical="top"/>
    </xf>
    <xf numFmtId="0" fontId="107" fillId="11" borderId="37" xfId="0" applyFont="1" applyFill="1" applyBorder="1" applyAlignment="1" applyProtection="1">
      <alignment vertical="top"/>
    </xf>
    <xf numFmtId="0" fontId="106" fillId="11" borderId="37" xfId="0" applyFont="1" applyFill="1" applyBorder="1" applyAlignment="1" applyProtection="1">
      <alignment vertical="top"/>
    </xf>
    <xf numFmtId="173" fontId="69" fillId="11" borderId="37" xfId="2" applyNumberFormat="1" applyFont="1" applyFill="1" applyBorder="1" applyAlignment="1" applyProtection="1">
      <alignment vertical="top"/>
    </xf>
    <xf numFmtId="0" fontId="9" fillId="4" borderId="31" xfId="0" applyFont="1" applyFill="1" applyBorder="1" applyAlignment="1" applyProtection="1">
      <alignment vertical="top"/>
    </xf>
    <xf numFmtId="0" fontId="8" fillId="9" borderId="0" xfId="0" applyFont="1" applyFill="1" applyAlignment="1" applyProtection="1">
      <alignment vertical="top"/>
    </xf>
    <xf numFmtId="0" fontId="87" fillId="11" borderId="0" xfId="0" applyFont="1" applyFill="1" applyAlignment="1" applyProtection="1">
      <alignment vertical="top"/>
    </xf>
    <xf numFmtId="0" fontId="49" fillId="11" borderId="37" xfId="0" applyFont="1" applyFill="1" applyBorder="1" applyAlignment="1" applyProtection="1">
      <alignment vertical="top"/>
    </xf>
    <xf numFmtId="0" fontId="9" fillId="11" borderId="39" xfId="0" applyFont="1" applyFill="1" applyBorder="1" applyAlignment="1" applyProtection="1">
      <alignment vertical="top"/>
    </xf>
    <xf numFmtId="1" fontId="8" fillId="11" borderId="39" xfId="0" applyNumberFormat="1" applyFont="1" applyFill="1" applyBorder="1" applyAlignment="1" applyProtection="1">
      <alignment vertical="top"/>
    </xf>
    <xf numFmtId="0" fontId="10" fillId="11" borderId="37" xfId="0" applyFont="1" applyFill="1" applyBorder="1" applyAlignment="1" applyProtection="1">
      <alignment vertical="top"/>
    </xf>
    <xf numFmtId="0" fontId="9" fillId="11" borderId="36" xfId="0" applyFont="1" applyFill="1" applyBorder="1" applyAlignment="1" applyProtection="1">
      <alignment vertical="top"/>
    </xf>
    <xf numFmtId="0" fontId="8" fillId="11" borderId="36" xfId="0" applyFont="1" applyFill="1" applyBorder="1" applyAlignment="1" applyProtection="1">
      <alignment vertical="top"/>
    </xf>
    <xf numFmtId="1" fontId="8" fillId="11" borderId="36" xfId="0" applyNumberFormat="1" applyFont="1" applyFill="1" applyBorder="1" applyAlignment="1" applyProtection="1">
      <alignment vertical="top"/>
    </xf>
    <xf numFmtId="4" fontId="8" fillId="11" borderId="37" xfId="0" applyNumberFormat="1" applyFont="1" applyFill="1" applyBorder="1" applyAlignment="1" applyProtection="1">
      <alignment vertical="top"/>
    </xf>
    <xf numFmtId="4" fontId="10" fillId="11" borderId="37" xfId="0" applyNumberFormat="1" applyFont="1" applyFill="1" applyBorder="1" applyAlignment="1" applyProtection="1">
      <alignment vertical="top"/>
    </xf>
    <xf numFmtId="9" fontId="8" fillId="11" borderId="37" xfId="0" applyNumberFormat="1" applyFont="1" applyFill="1" applyBorder="1" applyAlignment="1" applyProtection="1">
      <alignment vertical="top"/>
    </xf>
    <xf numFmtId="10" fontId="8" fillId="11" borderId="37" xfId="0" applyNumberFormat="1" applyFont="1" applyFill="1" applyBorder="1" applyAlignment="1" applyProtection="1">
      <alignment vertical="top"/>
    </xf>
    <xf numFmtId="176" fontId="73" fillId="11" borderId="37" xfId="3" applyNumberFormat="1" applyFont="1" applyFill="1" applyBorder="1" applyAlignment="1" applyProtection="1">
      <alignment vertical="top"/>
    </xf>
    <xf numFmtId="10" fontId="73" fillId="11" borderId="37" xfId="2" applyNumberFormat="1" applyFont="1" applyFill="1" applyBorder="1" applyAlignment="1" applyProtection="1">
      <alignment vertical="top"/>
    </xf>
    <xf numFmtId="10" fontId="35" fillId="11" borderId="37" xfId="0" applyNumberFormat="1" applyFont="1" applyFill="1" applyBorder="1" applyAlignment="1" applyProtection="1">
      <alignment vertical="top"/>
    </xf>
    <xf numFmtId="9" fontId="35" fillId="11" borderId="37" xfId="0" applyNumberFormat="1" applyFont="1" applyFill="1" applyBorder="1" applyAlignment="1" applyProtection="1">
      <alignment vertical="top"/>
    </xf>
    <xf numFmtId="176" fontId="74" fillId="11" borderId="37" xfId="3" applyNumberFormat="1" applyFont="1" applyFill="1" applyBorder="1" applyAlignment="1" applyProtection="1">
      <alignment vertical="top"/>
    </xf>
    <xf numFmtId="0" fontId="8" fillId="11" borderId="38" xfId="0" applyFont="1" applyFill="1" applyBorder="1" applyAlignment="1" applyProtection="1">
      <alignment vertical="top"/>
    </xf>
    <xf numFmtId="0" fontId="8" fillId="9" borderId="0" xfId="0" applyFont="1" applyFill="1" applyBorder="1" applyAlignment="1" applyProtection="1">
      <alignment vertical="top"/>
    </xf>
    <xf numFmtId="0" fontId="9" fillId="4" borderId="32" xfId="0" applyFont="1" applyFill="1" applyBorder="1" applyAlignment="1" applyProtection="1">
      <alignment vertical="top"/>
    </xf>
    <xf numFmtId="0" fontId="9" fillId="9" borderId="0" xfId="0" applyFont="1" applyFill="1" applyBorder="1" applyAlignment="1" applyProtection="1">
      <alignment vertical="top"/>
    </xf>
    <xf numFmtId="0" fontId="2" fillId="11" borderId="0" xfId="1" applyFill="1" applyAlignment="1" applyProtection="1">
      <alignment vertical="top"/>
    </xf>
    <xf numFmtId="0" fontId="35" fillId="11" borderId="0" xfId="0" applyFont="1" applyFill="1" applyAlignment="1" applyProtection="1">
      <alignment vertical="top"/>
    </xf>
    <xf numFmtId="0" fontId="35" fillId="4" borderId="0" xfId="0" applyFont="1" applyFill="1" applyBorder="1" applyAlignment="1" applyProtection="1">
      <alignment vertical="top"/>
    </xf>
    <xf numFmtId="0" fontId="35" fillId="9" borderId="0" xfId="0" applyFont="1" applyFill="1" applyAlignment="1" applyProtection="1">
      <alignment vertical="top"/>
    </xf>
    <xf numFmtId="0" fontId="35" fillId="7" borderId="0" xfId="0" applyFont="1" applyFill="1" applyAlignment="1" applyProtection="1">
      <alignment vertical="top"/>
    </xf>
    <xf numFmtId="0" fontId="35" fillId="4" borderId="31" xfId="0" applyFont="1" applyFill="1" applyBorder="1" applyAlignment="1" applyProtection="1">
      <alignment vertical="top"/>
    </xf>
    <xf numFmtId="0" fontId="35" fillId="4" borderId="32" xfId="0" applyFont="1" applyFill="1" applyBorder="1" applyAlignment="1" applyProtection="1">
      <alignment vertical="top"/>
    </xf>
    <xf numFmtId="0" fontId="35" fillId="9" borderId="0" xfId="0" applyFont="1" applyFill="1" applyBorder="1" applyAlignment="1" applyProtection="1">
      <alignment vertical="top"/>
    </xf>
    <xf numFmtId="0" fontId="69" fillId="9" borderId="0" xfId="0" applyFont="1" applyFill="1" applyBorder="1" applyAlignment="1" applyProtection="1">
      <alignment vertical="top"/>
    </xf>
    <xf numFmtId="0" fontId="7" fillId="4" borderId="33" xfId="0" applyFont="1" applyFill="1" applyBorder="1" applyAlignment="1" applyProtection="1">
      <alignment vertical="top"/>
    </xf>
    <xf numFmtId="0" fontId="7" fillId="4" borderId="34" xfId="0" applyFont="1" applyFill="1" applyBorder="1" applyAlignment="1" applyProtection="1">
      <alignment vertical="top"/>
    </xf>
    <xf numFmtId="0" fontId="47" fillId="4" borderId="34" xfId="0" applyFont="1" applyFill="1" applyBorder="1" applyAlignment="1" applyProtection="1">
      <alignment vertical="top"/>
    </xf>
    <xf numFmtId="0" fontId="8" fillId="4" borderId="34" xfId="0" applyFont="1" applyFill="1" applyBorder="1" applyAlignment="1" applyProtection="1">
      <alignment vertical="top"/>
    </xf>
    <xf numFmtId="0" fontId="7" fillId="4" borderId="35" xfId="0" applyFont="1" applyFill="1" applyBorder="1" applyAlignment="1" applyProtection="1">
      <alignment vertical="top"/>
    </xf>
    <xf numFmtId="49" fontId="78" fillId="11" borderId="0" xfId="0" applyNumberFormat="1" applyFont="1" applyFill="1" applyBorder="1" applyAlignment="1" applyProtection="1">
      <alignment vertical="top"/>
    </xf>
    <xf numFmtId="0" fontId="78" fillId="11" borderId="0" xfId="0" applyFont="1" applyFill="1" applyBorder="1" applyAlignment="1" applyProtection="1">
      <alignment vertical="top"/>
    </xf>
    <xf numFmtId="0" fontId="84" fillId="11" borderId="0" xfId="0" applyFont="1" applyFill="1" applyAlignment="1" applyProtection="1">
      <alignment vertical="top"/>
    </xf>
    <xf numFmtId="0" fontId="45" fillId="11" borderId="0" xfId="0" applyFont="1" applyFill="1" applyBorder="1" applyAlignment="1" applyProtection="1">
      <alignment vertical="top"/>
    </xf>
    <xf numFmtId="10" fontId="94" fillId="11" borderId="37" xfId="0" applyNumberFormat="1" applyFont="1" applyFill="1" applyBorder="1" applyAlignment="1" applyProtection="1">
      <alignment horizontal="center" vertical="top"/>
    </xf>
    <xf numFmtId="0" fontId="94" fillId="11" borderId="37" xfId="0" applyNumberFormat="1" applyFont="1" applyFill="1" applyBorder="1" applyAlignment="1" applyProtection="1">
      <alignment horizontal="center" vertical="top"/>
    </xf>
    <xf numFmtId="1" fontId="94" fillId="11" borderId="37" xfId="0" applyNumberFormat="1" applyFont="1" applyFill="1" applyBorder="1" applyAlignment="1" applyProtection="1">
      <alignment horizontal="center" vertical="top"/>
    </xf>
    <xf numFmtId="0" fontId="7" fillId="11" borderId="0" xfId="0" applyFont="1" applyFill="1" applyAlignment="1" applyProtection="1">
      <alignment horizontal="center" vertical="top"/>
    </xf>
    <xf numFmtId="0" fontId="7" fillId="4" borderId="29" xfId="0" applyFont="1" applyFill="1" applyBorder="1" applyAlignment="1" applyProtection="1">
      <alignment horizontal="center" vertical="top"/>
    </xf>
    <xf numFmtId="0" fontId="7" fillId="4" borderId="0" xfId="0" applyFont="1" applyFill="1" applyBorder="1" applyAlignment="1" applyProtection="1">
      <alignment horizontal="center" vertical="top"/>
    </xf>
    <xf numFmtId="0" fontId="57" fillId="4" borderId="0" xfId="0" applyFont="1" applyFill="1" applyBorder="1" applyAlignment="1" applyProtection="1">
      <alignment horizontal="center" vertical="top"/>
    </xf>
    <xf numFmtId="0" fontId="55" fillId="4" borderId="0" xfId="0" applyFont="1" applyFill="1" applyBorder="1" applyAlignment="1" applyProtection="1">
      <alignment horizontal="center" vertical="top"/>
    </xf>
    <xf numFmtId="0" fontId="46" fillId="11" borderId="37" xfId="0" applyFont="1" applyFill="1" applyBorder="1" applyAlignment="1" applyProtection="1">
      <alignment horizontal="center" vertical="top"/>
    </xf>
    <xf numFmtId="0" fontId="8" fillId="11" borderId="39" xfId="0" applyFont="1" applyFill="1" applyBorder="1" applyAlignment="1" applyProtection="1">
      <alignment horizontal="center" vertical="top"/>
    </xf>
    <xf numFmtId="0" fontId="8" fillId="11" borderId="36" xfId="0" applyFont="1" applyFill="1" applyBorder="1" applyAlignment="1" applyProtection="1">
      <alignment horizontal="center" vertical="top"/>
    </xf>
    <xf numFmtId="0" fontId="8" fillId="11" borderId="37" xfId="0" applyFont="1" applyFill="1" applyBorder="1" applyAlignment="1" applyProtection="1">
      <alignment horizontal="center" vertical="top"/>
    </xf>
    <xf numFmtId="0" fontId="8" fillId="9" borderId="37" xfId="0" applyFont="1" applyFill="1" applyBorder="1" applyAlignment="1" applyProtection="1">
      <alignment horizontal="center" vertical="top"/>
      <protection locked="0"/>
    </xf>
    <xf numFmtId="0" fontId="9" fillId="11" borderId="37" xfId="0" applyFont="1" applyFill="1" applyBorder="1" applyAlignment="1" applyProtection="1">
      <alignment horizontal="center" vertical="top"/>
    </xf>
    <xf numFmtId="0" fontId="35" fillId="11" borderId="37" xfId="0" applyFont="1" applyFill="1" applyBorder="1" applyAlignment="1" applyProtection="1">
      <alignment horizontal="center" vertical="top"/>
    </xf>
    <xf numFmtId="0" fontId="8" fillId="9" borderId="37" xfId="2" applyNumberFormat="1" applyFont="1" applyFill="1" applyBorder="1" applyAlignment="1" applyProtection="1">
      <alignment horizontal="center" vertical="top"/>
      <protection locked="0"/>
    </xf>
    <xf numFmtId="0" fontId="10" fillId="11" borderId="37" xfId="0" applyFont="1" applyFill="1" applyBorder="1" applyAlignment="1" applyProtection="1">
      <alignment horizontal="center" vertical="top"/>
    </xf>
    <xf numFmtId="0" fontId="8" fillId="11" borderId="38" xfId="0" applyFont="1" applyFill="1" applyBorder="1" applyAlignment="1" applyProtection="1">
      <alignment horizontal="center" vertical="top"/>
    </xf>
    <xf numFmtId="0" fontId="7" fillId="4" borderId="34" xfId="0" applyFont="1" applyFill="1" applyBorder="1" applyAlignment="1" applyProtection="1">
      <alignment horizontal="center" vertical="top"/>
    </xf>
    <xf numFmtId="0" fontId="7" fillId="7" borderId="0" xfId="0" applyFont="1" applyFill="1" applyAlignment="1" applyProtection="1">
      <alignment horizontal="center" vertical="top"/>
    </xf>
    <xf numFmtId="14" fontId="55" fillId="4" borderId="0" xfId="0" applyNumberFormat="1" applyFont="1" applyFill="1" applyBorder="1" applyAlignment="1" applyProtection="1">
      <alignment horizontal="center" vertical="top"/>
    </xf>
    <xf numFmtId="14" fontId="7" fillId="4" borderId="0" xfId="0" applyNumberFormat="1" applyFont="1" applyFill="1" applyBorder="1" applyAlignment="1" applyProtection="1">
      <alignment horizontal="center" vertical="top"/>
    </xf>
    <xf numFmtId="0" fontId="8" fillId="11" borderId="0" xfId="0" applyFont="1" applyFill="1" applyAlignment="1" applyProtection="1">
      <alignment horizontal="center" vertical="top"/>
    </xf>
    <xf numFmtId="0" fontId="46" fillId="9" borderId="37" xfId="0" applyFont="1" applyFill="1" applyBorder="1" applyAlignment="1" applyProtection="1">
      <alignment horizontal="center" vertical="top"/>
      <protection locked="0"/>
    </xf>
    <xf numFmtId="14" fontId="46" fillId="9" borderId="37" xfId="0" applyNumberFormat="1" applyFont="1" applyFill="1" applyBorder="1" applyAlignment="1" applyProtection="1">
      <alignment horizontal="center" vertical="top"/>
      <protection locked="0"/>
    </xf>
    <xf numFmtId="1" fontId="106" fillId="11" borderId="37" xfId="0" applyNumberFormat="1" applyFont="1" applyFill="1" applyBorder="1" applyAlignment="1" applyProtection="1">
      <alignment horizontal="center" vertical="top"/>
    </xf>
    <xf numFmtId="166" fontId="73" fillId="11" borderId="37" xfId="0" applyNumberFormat="1" applyFont="1" applyFill="1" applyBorder="1" applyAlignment="1" applyProtection="1">
      <alignment horizontal="center" vertical="top"/>
    </xf>
    <xf numFmtId="0" fontId="73" fillId="11" borderId="37" xfId="0" applyFont="1" applyFill="1" applyBorder="1" applyAlignment="1" applyProtection="1">
      <alignment horizontal="center" vertical="top"/>
    </xf>
    <xf numFmtId="0" fontId="106" fillId="11" borderId="37" xfId="0" applyFont="1" applyFill="1" applyBorder="1" applyAlignment="1" applyProtection="1">
      <alignment horizontal="center" vertical="top"/>
    </xf>
    <xf numFmtId="0" fontId="108" fillId="11" borderId="37" xfId="0" applyFont="1" applyFill="1" applyBorder="1" applyAlignment="1" applyProtection="1">
      <alignment horizontal="center" vertical="top"/>
    </xf>
    <xf numFmtId="176" fontId="46" fillId="13" borderId="37" xfId="0" applyNumberFormat="1" applyFont="1" applyFill="1" applyBorder="1" applyAlignment="1" applyProtection="1">
      <alignment horizontal="center" vertical="top"/>
    </xf>
    <xf numFmtId="0" fontId="87" fillId="11" borderId="37" xfId="0" applyFont="1" applyFill="1" applyBorder="1" applyAlignment="1" applyProtection="1">
      <alignment horizontal="center" vertical="top"/>
    </xf>
    <xf numFmtId="170" fontId="46" fillId="9" borderId="37" xfId="0" applyNumberFormat="1" applyFont="1" applyFill="1" applyBorder="1" applyAlignment="1" applyProtection="1">
      <alignment horizontal="center" vertical="top"/>
      <protection locked="0"/>
    </xf>
    <xf numFmtId="176" fontId="9" fillId="13" borderId="37" xfId="0" applyNumberFormat="1" applyFont="1" applyFill="1" applyBorder="1" applyAlignment="1" applyProtection="1">
      <alignment horizontal="center" vertical="top"/>
    </xf>
    <xf numFmtId="4" fontId="8" fillId="11" borderId="37" xfId="0" applyNumberFormat="1" applyFont="1" applyFill="1" applyBorder="1" applyAlignment="1" applyProtection="1">
      <alignment horizontal="center" vertical="top"/>
    </xf>
    <xf numFmtId="176" fontId="8" fillId="17" borderId="37" xfId="0" applyNumberFormat="1" applyFont="1" applyFill="1" applyBorder="1" applyAlignment="1" applyProtection="1">
      <alignment horizontal="center" vertical="top"/>
    </xf>
    <xf numFmtId="176" fontId="10" fillId="13" borderId="37" xfId="0" applyNumberFormat="1" applyFont="1" applyFill="1" applyBorder="1" applyAlignment="1" applyProtection="1">
      <alignment horizontal="center" vertical="top"/>
    </xf>
    <xf numFmtId="180" fontId="9" fillId="13" borderId="37" xfId="0" applyNumberFormat="1" applyFont="1" applyFill="1" applyBorder="1" applyAlignment="1" applyProtection="1">
      <alignment horizontal="center" vertical="top"/>
    </xf>
    <xf numFmtId="176" fontId="35" fillId="11" borderId="37" xfId="0" applyNumberFormat="1" applyFont="1" applyFill="1" applyBorder="1" applyAlignment="1" applyProtection="1">
      <alignment horizontal="center" vertical="top"/>
    </xf>
    <xf numFmtId="176" fontId="73" fillId="11" borderId="37" xfId="0" applyNumberFormat="1" applyFont="1" applyFill="1" applyBorder="1" applyAlignment="1" applyProtection="1">
      <alignment horizontal="center" vertical="top"/>
    </xf>
    <xf numFmtId="176" fontId="46" fillId="17" borderId="37" xfId="3" applyNumberFormat="1" applyFont="1" applyFill="1" applyBorder="1" applyAlignment="1" applyProtection="1">
      <alignment horizontal="center" vertical="top"/>
    </xf>
    <xf numFmtId="176" fontId="35" fillId="13" borderId="37" xfId="0" applyNumberFormat="1" applyFont="1" applyFill="1" applyBorder="1" applyAlignment="1" applyProtection="1">
      <alignment horizontal="center" vertical="top"/>
    </xf>
    <xf numFmtId="176" fontId="8" fillId="9" borderId="37" xfId="0" applyNumberFormat="1" applyFont="1" applyFill="1" applyBorder="1" applyAlignment="1" applyProtection="1">
      <alignment horizontal="center" vertical="top"/>
      <protection locked="0"/>
    </xf>
    <xf numFmtId="166" fontId="7" fillId="4" borderId="34" xfId="0" applyNumberFormat="1" applyFont="1" applyFill="1" applyBorder="1" applyAlignment="1" applyProtection="1">
      <alignment horizontal="center" vertical="top"/>
    </xf>
    <xf numFmtId="173" fontId="16" fillId="13" borderId="37" xfId="2" applyNumberFormat="1" applyFont="1" applyFill="1" applyBorder="1" applyAlignment="1" applyProtection="1">
      <alignment horizontal="center" vertical="top"/>
    </xf>
    <xf numFmtId="173" fontId="105" fillId="11" borderId="37" xfId="2" applyNumberFormat="1" applyFont="1" applyFill="1" applyBorder="1" applyAlignment="1" applyProtection="1">
      <alignment horizontal="center" vertical="top"/>
    </xf>
    <xf numFmtId="0" fontId="8" fillId="9" borderId="0" xfId="0" applyFont="1" applyFill="1" applyAlignment="1" applyProtection="1">
      <alignment horizontal="center" vertical="top"/>
    </xf>
    <xf numFmtId="1" fontId="73" fillId="11" borderId="37" xfId="0" applyNumberFormat="1" applyFont="1" applyFill="1" applyBorder="1" applyAlignment="1" applyProtection="1">
      <alignment horizontal="center" vertical="top"/>
    </xf>
    <xf numFmtId="176" fontId="35" fillId="17" borderId="37" xfId="0" applyNumberFormat="1" applyFont="1" applyFill="1" applyBorder="1" applyAlignment="1" applyProtection="1">
      <alignment horizontal="center" vertical="top"/>
    </xf>
    <xf numFmtId="176" fontId="10" fillId="11" borderId="37" xfId="0" applyNumberFormat="1" applyFont="1" applyFill="1" applyBorder="1" applyAlignment="1" applyProtection="1">
      <alignment horizontal="center" vertical="top"/>
    </xf>
    <xf numFmtId="0" fontId="8" fillId="9" borderId="0" xfId="0" applyFont="1" applyFill="1" applyBorder="1" applyAlignment="1" applyProtection="1">
      <alignment horizontal="center" vertical="top"/>
    </xf>
    <xf numFmtId="0" fontId="35" fillId="9" borderId="0" xfId="0" applyFont="1" applyFill="1" applyAlignment="1" applyProtection="1">
      <alignment horizontal="center" vertical="top"/>
    </xf>
    <xf numFmtId="0" fontId="35" fillId="9" borderId="0" xfId="0" applyFont="1" applyFill="1" applyBorder="1" applyAlignment="1" applyProtection="1">
      <alignment horizontal="center" vertical="top"/>
    </xf>
    <xf numFmtId="0" fontId="69" fillId="9" borderId="0" xfId="0" applyFont="1" applyFill="1" applyBorder="1" applyAlignment="1" applyProtection="1">
      <alignment horizontal="center" vertical="top"/>
    </xf>
    <xf numFmtId="0" fontId="8" fillId="4" borderId="34" xfId="0" applyFont="1" applyFill="1" applyBorder="1" applyAlignment="1" applyProtection="1">
      <alignment horizontal="center" vertical="top"/>
    </xf>
    <xf numFmtId="178" fontId="7" fillId="11" borderId="0" xfId="3" applyNumberFormat="1" applyFont="1" applyFill="1" applyAlignment="1" applyProtection="1">
      <alignment horizontal="center" vertical="top"/>
    </xf>
    <xf numFmtId="0" fontId="46" fillId="9" borderId="37" xfId="0" applyFont="1" applyFill="1" applyBorder="1" applyAlignment="1" applyProtection="1">
      <alignment horizontal="left" vertical="top"/>
      <protection locked="0"/>
    </xf>
    <xf numFmtId="0" fontId="35" fillId="11" borderId="37" xfId="0" applyFont="1" applyFill="1" applyBorder="1" applyAlignment="1" applyProtection="1">
      <alignment horizontal="left" vertical="top"/>
    </xf>
    <xf numFmtId="0" fontId="109" fillId="11" borderId="37" xfId="0" applyFont="1" applyFill="1" applyBorder="1" applyAlignment="1" applyProtection="1">
      <alignment vertical="top"/>
    </xf>
    <xf numFmtId="0" fontId="105" fillId="11" borderId="37" xfId="0" applyFont="1" applyFill="1" applyBorder="1" applyAlignment="1" applyProtection="1">
      <alignment horizontal="center" vertical="top"/>
    </xf>
    <xf numFmtId="0" fontId="16" fillId="11" borderId="37" xfId="0" applyFont="1" applyFill="1" applyBorder="1" applyAlignment="1" applyProtection="1">
      <alignment horizontal="center" vertical="top"/>
    </xf>
    <xf numFmtId="176" fontId="16" fillId="13" borderId="37" xfId="0" applyNumberFormat="1" applyFont="1" applyFill="1" applyBorder="1" applyAlignment="1" applyProtection="1">
      <alignment horizontal="center" vertical="top"/>
    </xf>
    <xf numFmtId="0" fontId="7" fillId="9" borderId="0" xfId="0" applyFont="1" applyFill="1" applyBorder="1" applyAlignment="1" applyProtection="1">
      <alignment vertical="top"/>
    </xf>
    <xf numFmtId="0" fontId="111" fillId="9" borderId="0" xfId="0" applyFont="1" applyFill="1" applyBorder="1" applyAlignment="1" applyProtection="1">
      <alignment vertical="top"/>
    </xf>
    <xf numFmtId="0" fontId="111" fillId="9" borderId="0" xfId="0" applyFont="1" applyFill="1" applyBorder="1" applyAlignment="1" applyProtection="1">
      <alignment horizontal="center" vertical="top"/>
    </xf>
    <xf numFmtId="4" fontId="9" fillId="11" borderId="37" xfId="0" applyNumberFormat="1" applyFont="1" applyFill="1" applyBorder="1" applyAlignment="1" applyProtection="1">
      <alignment vertical="top"/>
    </xf>
    <xf numFmtId="0" fontId="91" fillId="4" borderId="0" xfId="0" applyFont="1" applyFill="1" applyBorder="1" applyAlignment="1" applyProtection="1">
      <alignment horizontal="center"/>
    </xf>
    <xf numFmtId="181" fontId="8" fillId="11" borderId="0" xfId="0" applyNumberFormat="1" applyFont="1" applyFill="1" applyAlignment="1" applyProtection="1">
      <alignment vertical="top"/>
    </xf>
    <xf numFmtId="0" fontId="35" fillId="11" borderId="0" xfId="0" applyFont="1" applyFill="1" applyBorder="1" applyAlignment="1" applyProtection="1">
      <alignment horizontal="center"/>
    </xf>
    <xf numFmtId="0" fontId="35" fillId="4" borderId="5" xfId="0" applyFont="1" applyFill="1" applyBorder="1" applyAlignment="1" applyProtection="1">
      <alignment horizontal="center"/>
    </xf>
    <xf numFmtId="0" fontId="35" fillId="4" borderId="0" xfId="0" applyFont="1" applyFill="1" applyBorder="1" applyAlignment="1" applyProtection="1">
      <alignment horizontal="center"/>
    </xf>
    <xf numFmtId="166" fontId="92" fillId="4" borderId="0" xfId="0" applyNumberFormat="1" applyFont="1" applyFill="1" applyBorder="1" applyAlignment="1" applyProtection="1">
      <alignment horizontal="center"/>
    </xf>
    <xf numFmtId="166" fontId="100" fillId="4" borderId="0" xfId="0" applyNumberFormat="1" applyFont="1" applyFill="1" applyBorder="1" applyAlignment="1" applyProtection="1">
      <alignment horizontal="center"/>
    </xf>
    <xf numFmtId="0" fontId="35" fillId="7" borderId="0" xfId="0" applyFont="1" applyFill="1" applyBorder="1" applyAlignment="1" applyProtection="1">
      <alignment horizontal="center"/>
    </xf>
    <xf numFmtId="10" fontId="112" fillId="4" borderId="0" xfId="0" applyNumberFormat="1" applyFont="1" applyFill="1" applyBorder="1" applyAlignment="1" applyProtection="1">
      <alignment horizontal="center"/>
    </xf>
    <xf numFmtId="0" fontId="112" fillId="9" borderId="0" xfId="0" applyFont="1" applyFill="1" applyBorder="1" applyAlignment="1" applyProtection="1">
      <alignment horizontal="center"/>
    </xf>
    <xf numFmtId="0" fontId="100" fillId="4" borderId="0" xfId="0" applyFont="1" applyFill="1" applyBorder="1" applyAlignment="1" applyProtection="1">
      <alignment horizontal="left"/>
    </xf>
    <xf numFmtId="10" fontId="91" fillId="4" borderId="0" xfId="0" applyNumberFormat="1" applyFont="1" applyFill="1" applyBorder="1" applyAlignment="1" applyProtection="1">
      <alignment horizontal="center"/>
    </xf>
    <xf numFmtId="0" fontId="113" fillId="11" borderId="0" xfId="0" applyFont="1" applyFill="1" applyBorder="1" applyAlignment="1" applyProtection="1">
      <alignment horizontal="center"/>
    </xf>
    <xf numFmtId="0" fontId="113" fillId="4" borderId="5" xfId="0" applyFont="1" applyFill="1" applyBorder="1" applyAlignment="1" applyProtection="1">
      <alignment horizontal="center"/>
    </xf>
    <xf numFmtId="0" fontId="113" fillId="4" borderId="0" xfId="0" applyFont="1" applyFill="1" applyBorder="1" applyAlignment="1" applyProtection="1">
      <alignment horizontal="center"/>
    </xf>
    <xf numFmtId="0" fontId="114" fillId="4" borderId="0" xfId="0" applyFont="1" applyFill="1" applyBorder="1" applyAlignment="1" applyProtection="1">
      <alignment horizontal="center"/>
    </xf>
    <xf numFmtId="0" fontId="115" fillId="4" borderId="0" xfId="0" applyFont="1" applyFill="1" applyBorder="1" applyAlignment="1" applyProtection="1">
      <alignment horizontal="center"/>
    </xf>
    <xf numFmtId="0" fontId="115" fillId="9" borderId="0" xfId="0" applyFont="1" applyFill="1" applyBorder="1" applyAlignment="1" applyProtection="1">
      <alignment horizontal="center"/>
    </xf>
    <xf numFmtId="0" fontId="116" fillId="9" borderId="0" xfId="0" applyFont="1" applyFill="1" applyBorder="1" applyAlignment="1" applyProtection="1">
      <alignment horizontal="center"/>
    </xf>
    <xf numFmtId="0" fontId="117" fillId="4" borderId="0" xfId="0" applyFont="1" applyFill="1" applyBorder="1" applyAlignment="1" applyProtection="1">
      <alignment horizontal="center"/>
    </xf>
    <xf numFmtId="0" fontId="117" fillId="7" borderId="1" xfId="0" applyFont="1" applyFill="1" applyBorder="1" applyAlignment="1" applyProtection="1">
      <alignment horizontal="center"/>
    </xf>
    <xf numFmtId="176" fontId="117" fillId="10" borderId="1" xfId="0" applyNumberFormat="1" applyFont="1" applyFill="1" applyBorder="1" applyAlignment="1" applyProtection="1">
      <alignment horizontal="center"/>
    </xf>
    <xf numFmtId="0" fontId="115" fillId="7" borderId="1" xfId="0" applyFont="1" applyFill="1" applyBorder="1" applyAlignment="1" applyProtection="1">
      <alignment horizontal="center"/>
    </xf>
    <xf numFmtId="0" fontId="115" fillId="4" borderId="3" xfId="0" applyFont="1" applyFill="1" applyBorder="1" applyAlignment="1" applyProtection="1">
      <alignment horizontal="center"/>
    </xf>
    <xf numFmtId="0" fontId="113" fillId="7" borderId="0" xfId="0" applyFont="1" applyFill="1" applyBorder="1" applyAlignment="1" applyProtection="1">
      <alignment horizontal="center"/>
    </xf>
    <xf numFmtId="0" fontId="101" fillId="0" borderId="0" xfId="0" applyFont="1" applyBorder="1" applyAlignment="1" applyProtection="1">
      <alignment horizontal="center"/>
    </xf>
    <xf numFmtId="176" fontId="102" fillId="0" borderId="1" xfId="0" applyNumberFormat="1" applyFont="1" applyFill="1" applyBorder="1" applyAlignment="1" applyProtection="1">
      <alignment horizontal="center"/>
    </xf>
    <xf numFmtId="0" fontId="84" fillId="11" borderId="0" xfId="0" applyFont="1" applyFill="1" applyAlignment="1" applyProtection="1">
      <alignment horizontal="center" vertical="top"/>
    </xf>
    <xf numFmtId="10" fontId="84" fillId="11" borderId="0" xfId="2" applyNumberFormat="1" applyFont="1" applyFill="1" applyAlignment="1" applyProtection="1">
      <alignment horizontal="center" vertical="top"/>
    </xf>
    <xf numFmtId="182" fontId="35" fillId="11" borderId="37" xfId="2" applyNumberFormat="1" applyFont="1" applyFill="1" applyBorder="1" applyAlignment="1" applyProtection="1">
      <alignment horizontal="center" vertical="top"/>
    </xf>
    <xf numFmtId="182" fontId="35" fillId="11" borderId="37" xfId="0" applyNumberFormat="1" applyFont="1" applyFill="1" applyBorder="1" applyAlignment="1" applyProtection="1">
      <alignment horizontal="center" vertical="top"/>
    </xf>
    <xf numFmtId="173" fontId="84" fillId="11" borderId="0" xfId="2" applyNumberFormat="1" applyFont="1" applyFill="1" applyAlignment="1" applyProtection="1">
      <alignment horizontal="center" vertical="top"/>
    </xf>
    <xf numFmtId="0" fontId="8" fillId="11" borderId="0" xfId="0" applyFont="1" applyFill="1" applyBorder="1" applyAlignment="1" applyProtection="1">
      <alignment vertical="top"/>
    </xf>
    <xf numFmtId="0" fontId="8" fillId="11" borderId="0" xfId="0" applyFont="1" applyFill="1" applyBorder="1" applyAlignment="1" applyProtection="1">
      <alignment horizontal="center" vertical="top"/>
    </xf>
    <xf numFmtId="0" fontId="118" fillId="4" borderId="0" xfId="0" applyFont="1" applyFill="1" applyBorder="1" applyAlignment="1" applyProtection="1">
      <alignment horizontal="left"/>
    </xf>
    <xf numFmtId="173" fontId="118" fillId="4" borderId="0" xfId="0" applyNumberFormat="1" applyFont="1" applyFill="1" applyBorder="1" applyAlignment="1" applyProtection="1">
      <alignment horizontal="center"/>
    </xf>
    <xf numFmtId="0" fontId="8" fillId="9" borderId="0" xfId="0" applyFont="1" applyFill="1" applyBorder="1" applyProtection="1"/>
    <xf numFmtId="0" fontId="9" fillId="9" borderId="0" xfId="0" applyFont="1" applyFill="1"/>
    <xf numFmtId="173" fontId="118" fillId="0" borderId="0" xfId="0" applyNumberFormat="1" applyFont="1" applyFill="1" applyBorder="1" applyAlignment="1" applyProtection="1">
      <alignment horizontal="center"/>
    </xf>
    <xf numFmtId="166" fontId="16" fillId="5" borderId="14" xfId="0" applyNumberFormat="1" applyFont="1" applyFill="1" applyBorder="1" applyAlignment="1" applyProtection="1">
      <protection locked="0"/>
    </xf>
    <xf numFmtId="0" fontId="16" fillId="5" borderId="14" xfId="0" applyFont="1" applyFill="1" applyBorder="1" applyAlignment="1" applyProtection="1">
      <protection locked="0"/>
    </xf>
    <xf numFmtId="0" fontId="15" fillId="4" borderId="0" xfId="0" applyFont="1" applyFill="1" applyBorder="1" applyAlignment="1" applyProtection="1">
      <alignment horizontal="left"/>
      <protection locked="0"/>
    </xf>
    <xf numFmtId="0" fontId="15" fillId="4" borderId="14" xfId="0" applyFont="1" applyFill="1" applyBorder="1" applyAlignment="1" applyProtection="1">
      <protection locked="0"/>
    </xf>
    <xf numFmtId="0" fontId="90" fillId="9" borderId="0" xfId="0" applyFont="1" applyFill="1" applyBorder="1" applyAlignment="1" applyProtection="1">
      <alignment horizontal="center"/>
    </xf>
    <xf numFmtId="0" fontId="91" fillId="4" borderId="0" xfId="0" applyFont="1" applyFill="1" applyBorder="1" applyAlignment="1" applyProtection="1">
      <alignment horizontal="center"/>
    </xf>
    <xf numFmtId="179" fontId="86" fillId="8" borderId="0" xfId="0" applyNumberFormat="1" applyFont="1" applyFill="1" applyBorder="1" applyAlignment="1" applyProtection="1">
      <alignment horizontal="left"/>
      <protection locked="0"/>
    </xf>
  </cellXfs>
  <cellStyles count="5">
    <cellStyle name="Hyperlink" xfId="1" builtinId="8"/>
    <cellStyle name="Procent" xfId="2" builtinId="5"/>
    <cellStyle name="Standaard" xfId="0" builtinId="0"/>
    <cellStyle name="Standaard 2" xfId="4"/>
    <cellStyle name="Valuta" xfId="3" builtinId="4"/>
  </cellStyles>
  <dxfs count="0"/>
  <tableStyles count="0" defaultTableStyle="TableStyleMedium9" defaultPivotStyle="PivotStyleLight16"/>
  <colors>
    <mruColors>
      <color rgb="FFFFFFCC"/>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11</xdr:col>
      <xdr:colOff>200025</xdr:colOff>
      <xdr:row>2</xdr:row>
      <xdr:rowOff>114300</xdr:rowOff>
    </xdr:from>
    <xdr:to>
      <xdr:col>12</xdr:col>
      <xdr:colOff>590550</xdr:colOff>
      <xdr:row>4</xdr:row>
      <xdr:rowOff>38100</xdr:rowOff>
    </xdr:to>
    <xdr:pic>
      <xdr:nvPicPr>
        <xdr:cNvPr id="14337"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77050" y="438150"/>
          <a:ext cx="10382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11206</xdr:colOff>
      <xdr:row>43</xdr:row>
      <xdr:rowOff>7471</xdr:rowOff>
    </xdr:from>
    <xdr:to>
      <xdr:col>17</xdr:col>
      <xdr:colOff>97118</xdr:colOff>
      <xdr:row>66</xdr:row>
      <xdr:rowOff>7471</xdr:rowOff>
    </xdr:to>
    <xdr:sp macro="" textlink="">
      <xdr:nvSpPr>
        <xdr:cNvPr id="2" name="Tekstvak 1"/>
        <xdr:cNvSpPr txBox="1"/>
      </xdr:nvSpPr>
      <xdr:spPr>
        <a:xfrm>
          <a:off x="5218206" y="7141883"/>
          <a:ext cx="4896971" cy="34514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nl-NL" sz="1000" b="0" i="1" baseline="0">
              <a:solidFill>
                <a:sysClr val="windowText" lastClr="000000"/>
              </a:solidFill>
            </a:rPr>
            <a:t>- Sinds 1 augustus 2012 zijn de kosten die door de UWV vergoed worden niet meer zichtbaar (zie  toelichting), maar de kosten  die gemaakt worden voor o.a. zwangerschaps- en bevallingsverlof kunnen anders zijn dan de vergoeding die UWV  daarvoor verstrekt. </a:t>
          </a:r>
        </a:p>
        <a:p>
          <a:pPr marL="0" marR="0" indent="0" defTabSz="914400" eaLnBrk="1" fontAlgn="auto" latinLnBrk="0" hangingPunct="1">
            <a:lnSpc>
              <a:spcPct val="100000"/>
            </a:lnSpc>
            <a:spcBef>
              <a:spcPts val="0"/>
            </a:spcBef>
            <a:spcAft>
              <a:spcPts val="0"/>
            </a:spcAft>
            <a:buClrTx/>
            <a:buSzTx/>
            <a:buFontTx/>
            <a:buNone/>
            <a:tabLst/>
            <a:defRPr/>
          </a:pPr>
          <a:endParaRPr lang="nl-NL" sz="1000" b="0" i="1" baseline="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r>
            <a:rPr lang="nl-NL" sz="1000" b="0" i="1" baseline="0">
              <a:solidFill>
                <a:sysClr val="windowText" lastClr="000000"/>
              </a:solidFill>
            </a:rPr>
            <a:t>- per 1 januari 2015 is de Vf-premie gedecentraliseerd verlof (artikel 8.7 en 8.8 van de CAO) komen te vervallen. Hierdoor kan </a:t>
          </a:r>
          <a:r>
            <a:rPr lang="nl-NL" sz="1000" b="0" i="1" baseline="0">
              <a:solidFill>
                <a:sysClr val="windowText" lastClr="000000"/>
              </a:solidFill>
              <a:effectLst/>
              <a:latin typeface="+mn-lt"/>
              <a:ea typeface="+mn-ea"/>
              <a:cs typeface="+mn-cs"/>
            </a:rPr>
            <a:t>dit verlof niet meer worden gedeclareerd bij het Vervangingsverlof (Vf), maar komen deze kosten (voor zover deze zich voordoen) volledig voor rekening van het schoolbestuur. </a:t>
          </a:r>
          <a:r>
            <a:rPr lang="nl-NL" sz="1000" b="1" i="1" baseline="0">
              <a:solidFill>
                <a:sysClr val="windowText" lastClr="000000"/>
              </a:solidFill>
              <a:effectLst/>
              <a:latin typeface="+mn-lt"/>
              <a:ea typeface="+mn-ea"/>
              <a:cs typeface="+mn-cs"/>
            </a:rPr>
            <a:t>Een schatting van deze kosten kan opgevoerd worden bij "eigen beleid". </a:t>
          </a:r>
          <a:endParaRPr lang="nl-NL" sz="1000" b="1" i="1" baseline="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endParaRPr lang="nl-NL" sz="1000" b="0" i="1" baseline="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r>
            <a:rPr lang="nl-NL" sz="1000" b="0" i="1" baseline="0">
              <a:solidFill>
                <a:sysClr val="windowText" lastClr="000000"/>
              </a:solidFill>
            </a:rPr>
            <a:t>- Ook moet rekening gehouden worden met overige kosten die hier niet zijn opgenomen omdat ze per individu sterk  kunnen verschillen, zoals reis- en verblijfkosten, parkeervergoeding e.d.. Ga daarom na welke kosten bij uw bestuur ook nog gemaakt worden. </a:t>
          </a:r>
          <a:r>
            <a:rPr lang="nl-NL" sz="1000" b="1" i="1" baseline="0">
              <a:solidFill>
                <a:sysClr val="windowText" lastClr="000000"/>
              </a:solidFill>
              <a:effectLst/>
              <a:latin typeface="+mn-lt"/>
              <a:ea typeface="+mn-ea"/>
              <a:cs typeface="+mn-cs"/>
            </a:rPr>
            <a:t>Een schatting van deze kosten kan opgevoerd worden bij "eigen beleid". </a:t>
          </a:r>
          <a:r>
            <a:rPr lang="nl-NL" sz="1000" b="0" i="1">
              <a:solidFill>
                <a:sysClr val="windowText" lastClr="000000"/>
              </a:solidFill>
            </a:rPr>
            <a:t>Een bestuur dat voor het VF eigenrisicodrager is, dient de eigen kosten ziektevervanging hier ook op te voeren.</a:t>
          </a:r>
        </a:p>
        <a:p>
          <a:pPr marL="0" marR="0" indent="0" defTabSz="914400" eaLnBrk="1" fontAlgn="auto" latinLnBrk="0" hangingPunct="1">
            <a:lnSpc>
              <a:spcPct val="100000"/>
            </a:lnSpc>
            <a:spcBef>
              <a:spcPts val="0"/>
            </a:spcBef>
            <a:spcAft>
              <a:spcPts val="0"/>
            </a:spcAft>
            <a:buClrTx/>
            <a:buSzTx/>
            <a:buFontTx/>
            <a:buNone/>
            <a:tabLst/>
            <a:defRPr/>
          </a:pPr>
          <a:endParaRPr lang="nl-NL" sz="1000" b="0" i="1">
            <a:solidFill>
              <a:sysClr val="windowText" lastClr="000000"/>
            </a:solidFill>
          </a:endParaRPr>
        </a:p>
        <a:p>
          <a:r>
            <a:rPr lang="nl-NL" sz="1000" b="0" i="1">
              <a:solidFill>
                <a:sysClr val="windowText" lastClr="000000"/>
              </a:solidFill>
            </a:rPr>
            <a:t>- De pen</a:t>
          </a:r>
          <a:r>
            <a:rPr lang="nl-NL" sz="1000" i="1">
              <a:solidFill>
                <a:sysClr val="windowText" lastClr="000000"/>
              </a:solidFill>
              <a:effectLst/>
              <a:latin typeface="+mn-lt"/>
              <a:ea typeface="+mn-ea"/>
              <a:cs typeface="+mn-cs"/>
            </a:rPr>
            <a:t>sioenpremies</a:t>
          </a:r>
          <a:r>
            <a:rPr lang="nl-NL" sz="1000" i="1" baseline="0">
              <a:solidFill>
                <a:sysClr val="windowText" lastClr="000000"/>
              </a:solidFill>
              <a:effectLst/>
              <a:latin typeface="+mn-lt"/>
              <a:ea typeface="+mn-ea"/>
              <a:cs typeface="+mn-cs"/>
            </a:rPr>
            <a:t> moeten nog aangepast worden per 1 januari 2019.</a:t>
          </a:r>
          <a:r>
            <a:rPr lang="nl-NL" sz="1000" i="1">
              <a:solidFill>
                <a:sysClr val="windowText" lastClr="000000"/>
              </a:solidFill>
              <a:effectLst/>
              <a:latin typeface="+mn-lt"/>
              <a:ea typeface="+mn-ea"/>
              <a:cs typeface="+mn-cs"/>
            </a:rPr>
            <a:t> Een wijziging van de pensioenpremies in de marktsector wordt via de referentiesystematiek </a:t>
          </a:r>
          <a:r>
            <a:rPr lang="nl-NL" sz="1000" b="1" i="1">
              <a:solidFill>
                <a:sysClr val="windowText" lastClr="000000"/>
              </a:solidFill>
              <a:effectLst/>
              <a:latin typeface="+mn-lt"/>
              <a:ea typeface="+mn-ea"/>
              <a:cs typeface="+mn-cs"/>
            </a:rPr>
            <a:t>2018 </a:t>
          </a:r>
          <a:r>
            <a:rPr lang="nl-NL" sz="1000" i="1">
              <a:solidFill>
                <a:sysClr val="windowText" lastClr="000000"/>
              </a:solidFill>
              <a:effectLst/>
              <a:latin typeface="+mn-lt"/>
              <a:ea typeface="+mn-ea"/>
              <a:cs typeface="+mn-cs"/>
            </a:rPr>
            <a:t>meegenomen in de indexering van de personele bekostiging. Deze</a:t>
          </a:r>
          <a:r>
            <a:rPr lang="nl-NL" sz="1000" i="1" baseline="0">
              <a:solidFill>
                <a:sysClr val="windowText" lastClr="000000"/>
              </a:solidFill>
              <a:effectLst/>
              <a:latin typeface="+mn-lt"/>
              <a:ea typeface="+mn-ea"/>
              <a:cs typeface="+mn-cs"/>
            </a:rPr>
            <a:t> indexering wordt in september van </a:t>
          </a:r>
          <a:r>
            <a:rPr lang="nl-NL" sz="1000" b="1" i="1" baseline="0">
              <a:solidFill>
                <a:sysClr val="windowText" lastClr="000000"/>
              </a:solidFill>
              <a:effectLst/>
              <a:latin typeface="+mn-lt"/>
              <a:ea typeface="+mn-ea"/>
              <a:cs typeface="+mn-cs"/>
            </a:rPr>
            <a:t>2018 </a:t>
          </a:r>
          <a:r>
            <a:rPr lang="nl-NL" sz="1000" i="1" baseline="0">
              <a:solidFill>
                <a:sysClr val="windowText" lastClr="000000"/>
              </a:solidFill>
              <a:effectLst/>
              <a:latin typeface="+mn-lt"/>
              <a:ea typeface="+mn-ea"/>
              <a:cs typeface="+mn-cs"/>
            </a:rPr>
            <a:t>door OCW gepubliceerd en dan hierin verwerkt.</a:t>
          </a:r>
          <a:endParaRPr lang="nl-NL" sz="1000" i="1">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nl-NL" sz="1000" b="0" i="1">
            <a:solidFill>
              <a:schemeClr val="tx1">
                <a:lumMod val="50000"/>
                <a:lumOff val="50000"/>
              </a:schemeClr>
            </a:solidFill>
          </a:endParaRPr>
        </a:p>
        <a:p>
          <a:endParaRPr lang="nl-NL" sz="1000" b="1" i="1">
            <a:solidFill>
              <a:schemeClr val="tx1">
                <a:lumMod val="50000"/>
                <a:lumOff val="50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828675</xdr:colOff>
      <xdr:row>1</xdr:row>
      <xdr:rowOff>152400</xdr:rowOff>
    </xdr:from>
    <xdr:to>
      <xdr:col>10</xdr:col>
      <xdr:colOff>152400</xdr:colOff>
      <xdr:row>3</xdr:row>
      <xdr:rowOff>133350</xdr:rowOff>
    </xdr:to>
    <xdr:pic>
      <xdr:nvPicPr>
        <xdr:cNvPr id="4137"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81875" y="323850"/>
          <a:ext cx="10382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104775</xdr:colOff>
      <xdr:row>2</xdr:row>
      <xdr:rowOff>114300</xdr:rowOff>
    </xdr:from>
    <xdr:to>
      <xdr:col>8</xdr:col>
      <xdr:colOff>161925</xdr:colOff>
      <xdr:row>4</xdr:row>
      <xdr:rowOff>38100</xdr:rowOff>
    </xdr:to>
    <xdr:pic>
      <xdr:nvPicPr>
        <xdr:cNvPr id="9221"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457200"/>
          <a:ext cx="10382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76200</xdr:colOff>
      <xdr:row>2</xdr:row>
      <xdr:rowOff>0</xdr:rowOff>
    </xdr:from>
    <xdr:to>
      <xdr:col>8</xdr:col>
      <xdr:colOff>152400</xdr:colOff>
      <xdr:row>3</xdr:row>
      <xdr:rowOff>152400</xdr:rowOff>
    </xdr:to>
    <xdr:pic>
      <xdr:nvPicPr>
        <xdr:cNvPr id="6151"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95975" y="342900"/>
          <a:ext cx="10382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elpdesk@poraad.n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https://www.vervangingsfonds.nl/over-ons/nieuws/actueel/premies-per-1-januari-2018-definitief-vastgesteld" TargetMode="External"/><Relationship Id="rId7" Type="http://schemas.openxmlformats.org/officeDocument/2006/relationships/hyperlink" Target="http://belastingschijven.net/belastingschijven-2018/" TargetMode="External"/><Relationship Id="rId2" Type="http://schemas.openxmlformats.org/officeDocument/2006/relationships/hyperlink" Target="https://www.participatiefonds.nl/artikelen/2017/premie-1-1-2018.html" TargetMode="External"/><Relationship Id="rId1" Type="http://schemas.openxmlformats.org/officeDocument/2006/relationships/hyperlink" Target="https://www.abp.nl/images/24.0006.18_premietabel_2018.pdf" TargetMode="External"/><Relationship Id="rId6" Type="http://schemas.openxmlformats.org/officeDocument/2006/relationships/hyperlink" Target="https://zoek.officielebekendmakingen.nl/stcrt-2017-49381.html" TargetMode="External"/><Relationship Id="rId5" Type="http://schemas.openxmlformats.org/officeDocument/2006/relationships/hyperlink" Target="https://www.salarisnet.nl/2017/11/premies-werknemers-en-volksverzekeringen-2018/" TargetMode="External"/><Relationship Id="rId10" Type="http://schemas.openxmlformats.org/officeDocument/2006/relationships/comments" Target="../comments6.xml"/><Relationship Id="rId4" Type="http://schemas.openxmlformats.org/officeDocument/2006/relationships/hyperlink" Target="https://www.salarisnet.nl/2017/11/premies-werknemers-en-volksverzekeringen-2018/" TargetMode="External"/><Relationship Id="rId9"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24"/>
  <sheetViews>
    <sheetView zoomScale="85" zoomScaleNormal="85" workbookViewId="0">
      <selection activeCell="B2" sqref="B2"/>
    </sheetView>
  </sheetViews>
  <sheetFormatPr defaultColWidth="9.140625" defaultRowHeight="12.75" x14ac:dyDescent="0.2"/>
  <cols>
    <col min="1" max="1" width="3.7109375" style="371" customWidth="1"/>
    <col min="2" max="2" width="2.7109375" style="371" customWidth="1"/>
    <col min="3" max="4" width="9.140625" style="371"/>
    <col min="5" max="6" width="14.85546875" style="371" customWidth="1"/>
    <col min="7" max="11" width="9.140625" style="371"/>
    <col min="12" max="12" width="9.7109375" style="371" customWidth="1"/>
    <col min="13" max="13" width="9.140625" style="371"/>
    <col min="14" max="14" width="3.7109375" style="371" customWidth="1"/>
    <col min="15" max="16384" width="9.140625" style="371"/>
  </cols>
  <sheetData>
    <row r="2" spans="2:14" x14ac:dyDescent="0.2">
      <c r="B2" s="395"/>
      <c r="C2" s="396"/>
      <c r="D2" s="396"/>
      <c r="E2" s="396"/>
      <c r="F2" s="396"/>
      <c r="G2" s="396"/>
      <c r="H2" s="396"/>
      <c r="I2" s="396"/>
      <c r="J2" s="396"/>
      <c r="K2" s="396"/>
      <c r="L2" s="396"/>
      <c r="M2" s="396"/>
      <c r="N2" s="397"/>
    </row>
    <row r="3" spans="2:14" x14ac:dyDescent="0.2">
      <c r="B3" s="398"/>
      <c r="C3" s="372"/>
      <c r="D3" s="372"/>
      <c r="E3" s="372"/>
      <c r="F3" s="372"/>
      <c r="G3" s="372"/>
      <c r="H3" s="372"/>
      <c r="I3" s="372"/>
      <c r="J3" s="372"/>
      <c r="K3" s="372"/>
      <c r="L3" s="372"/>
      <c r="M3" s="372"/>
      <c r="N3" s="399"/>
    </row>
    <row r="4" spans="2:14" s="377" customFormat="1" ht="18.75" x14ac:dyDescent="0.3">
      <c r="B4" s="400"/>
      <c r="C4" s="429" t="s">
        <v>33</v>
      </c>
      <c r="D4" s="374"/>
      <c r="E4" s="374"/>
      <c r="F4" s="374"/>
      <c r="G4" s="374"/>
      <c r="H4" s="375"/>
      <c r="I4" s="373"/>
      <c r="J4" s="373"/>
      <c r="K4" s="373"/>
      <c r="L4" s="376"/>
      <c r="M4" s="373"/>
      <c r="N4" s="401"/>
    </row>
    <row r="5" spans="2:14" ht="15.75" x14ac:dyDescent="0.25">
      <c r="B5" s="398"/>
      <c r="C5" s="378" t="s">
        <v>328</v>
      </c>
      <c r="D5" s="372"/>
      <c r="E5" s="372"/>
      <c r="F5" s="372"/>
      <c r="G5" s="372"/>
      <c r="H5" s="372"/>
      <c r="I5" s="372"/>
      <c r="J5" s="372"/>
      <c r="K5" s="372"/>
      <c r="L5" s="379"/>
      <c r="M5" s="380"/>
      <c r="N5" s="402"/>
    </row>
    <row r="6" spans="2:14" x14ac:dyDescent="0.2">
      <c r="B6" s="398"/>
      <c r="C6" s="380"/>
      <c r="D6" s="372"/>
      <c r="E6" s="372"/>
      <c r="F6" s="372"/>
      <c r="G6" s="372"/>
      <c r="H6" s="372"/>
      <c r="I6" s="372"/>
      <c r="J6" s="372"/>
      <c r="K6" s="372"/>
      <c r="L6" s="379"/>
      <c r="M6" s="380"/>
      <c r="N6" s="402"/>
    </row>
    <row r="7" spans="2:14" x14ac:dyDescent="0.2">
      <c r="B7" s="403"/>
      <c r="C7" s="301" t="s">
        <v>35</v>
      </c>
      <c r="D7" s="301"/>
      <c r="E7" s="301"/>
      <c r="F7" s="301"/>
      <c r="G7" s="382" t="s">
        <v>171</v>
      </c>
      <c r="H7" s="372"/>
      <c r="I7" s="301"/>
      <c r="J7" s="301"/>
      <c r="K7" s="301"/>
      <c r="L7" s="301"/>
      <c r="M7" s="301"/>
      <c r="N7" s="402"/>
    </row>
    <row r="8" spans="2:14" x14ac:dyDescent="0.2">
      <c r="B8" s="403"/>
      <c r="C8" s="301" t="s">
        <v>192</v>
      </c>
      <c r="D8" s="301"/>
      <c r="E8" s="301"/>
      <c r="F8" s="301"/>
      <c r="G8" s="301"/>
      <c r="H8" s="301"/>
      <c r="I8" s="301"/>
      <c r="J8" s="301"/>
      <c r="K8" s="301"/>
      <c r="L8" s="301"/>
      <c r="M8" s="301"/>
      <c r="N8" s="399"/>
    </row>
    <row r="9" spans="2:14" x14ac:dyDescent="0.2">
      <c r="B9" s="403"/>
      <c r="C9" s="301"/>
      <c r="D9" s="301"/>
      <c r="E9" s="301"/>
      <c r="F9" s="301"/>
      <c r="G9" s="301"/>
      <c r="H9" s="301"/>
      <c r="I9" s="301"/>
      <c r="J9" s="301"/>
      <c r="K9" s="301"/>
      <c r="L9" s="301"/>
      <c r="M9" s="301"/>
      <c r="N9" s="399"/>
    </row>
    <row r="10" spans="2:14" x14ac:dyDescent="0.2">
      <c r="B10" s="403"/>
      <c r="C10" s="301" t="s">
        <v>259</v>
      </c>
      <c r="D10" s="301"/>
      <c r="E10" s="301"/>
      <c r="F10" s="301"/>
      <c r="G10" s="301"/>
      <c r="H10" s="301"/>
      <c r="I10" s="301"/>
      <c r="J10" s="301"/>
      <c r="K10" s="301"/>
      <c r="L10" s="301"/>
      <c r="M10" s="301"/>
      <c r="N10" s="399"/>
    </row>
    <row r="11" spans="2:14" x14ac:dyDescent="0.2">
      <c r="B11" s="403"/>
      <c r="C11" s="301" t="s">
        <v>319</v>
      </c>
      <c r="D11" s="301"/>
      <c r="E11" s="301"/>
      <c r="F11" s="301"/>
      <c r="G11" s="301"/>
      <c r="H11" s="301"/>
      <c r="I11" s="301"/>
      <c r="J11" s="301"/>
      <c r="K11" s="301"/>
      <c r="L11" s="301"/>
      <c r="M11" s="301"/>
      <c r="N11" s="399"/>
    </row>
    <row r="12" spans="2:14" x14ac:dyDescent="0.2">
      <c r="B12" s="403"/>
      <c r="C12" s="301"/>
      <c r="D12" s="301"/>
      <c r="E12" s="301"/>
      <c r="F12" s="301"/>
      <c r="G12" s="301"/>
      <c r="H12" s="301"/>
      <c r="I12" s="301"/>
      <c r="J12" s="301"/>
      <c r="K12" s="301"/>
      <c r="L12" s="301"/>
      <c r="M12" s="301"/>
      <c r="N12" s="399"/>
    </row>
    <row r="13" spans="2:14" x14ac:dyDescent="0.2">
      <c r="B13" s="403"/>
      <c r="C13" s="301" t="s">
        <v>329</v>
      </c>
      <c r="D13" s="301"/>
      <c r="E13" s="301"/>
      <c r="F13" s="301"/>
      <c r="G13" s="301"/>
      <c r="H13" s="301"/>
      <c r="I13" s="301"/>
      <c r="J13" s="301"/>
      <c r="K13" s="301"/>
      <c r="L13" s="301"/>
      <c r="M13" s="301"/>
      <c r="N13" s="399"/>
    </row>
    <row r="14" spans="2:14" x14ac:dyDescent="0.2">
      <c r="B14" s="403"/>
      <c r="C14" s="301" t="s">
        <v>330</v>
      </c>
      <c r="D14" s="301"/>
      <c r="E14" s="301"/>
      <c r="F14" s="301"/>
      <c r="G14" s="301"/>
      <c r="H14" s="301"/>
      <c r="I14" s="301"/>
      <c r="J14" s="301"/>
      <c r="K14" s="301"/>
      <c r="L14" s="301"/>
      <c r="M14" s="301"/>
      <c r="N14" s="399"/>
    </row>
    <row r="15" spans="2:14" x14ac:dyDescent="0.2">
      <c r="B15" s="403"/>
      <c r="C15" s="301" t="s">
        <v>331</v>
      </c>
      <c r="D15" s="301"/>
      <c r="E15" s="301"/>
      <c r="F15" s="301"/>
      <c r="G15" s="301"/>
      <c r="H15" s="301"/>
      <c r="I15" s="301"/>
      <c r="J15" s="301"/>
      <c r="K15" s="301"/>
      <c r="L15" s="301"/>
      <c r="M15" s="301"/>
      <c r="N15" s="399"/>
    </row>
    <row r="16" spans="2:14" x14ac:dyDescent="0.2">
      <c r="B16" s="403"/>
      <c r="C16" s="301" t="s">
        <v>395</v>
      </c>
      <c r="D16" s="301"/>
      <c r="E16" s="301"/>
      <c r="F16" s="301"/>
      <c r="G16" s="301"/>
      <c r="H16" s="301"/>
      <c r="I16" s="301"/>
      <c r="J16" s="301"/>
      <c r="K16" s="301"/>
      <c r="L16" s="301"/>
      <c r="M16" s="301"/>
      <c r="N16" s="399"/>
    </row>
    <row r="17" spans="2:14" x14ac:dyDescent="0.2">
      <c r="B17" s="403"/>
      <c r="C17" s="301" t="s">
        <v>332</v>
      </c>
      <c r="D17" s="301"/>
      <c r="E17" s="301"/>
      <c r="F17" s="301"/>
      <c r="G17" s="301"/>
      <c r="H17" s="301"/>
      <c r="I17" s="301"/>
      <c r="J17" s="301"/>
      <c r="K17" s="301"/>
      <c r="L17" s="301"/>
      <c r="M17" s="301"/>
      <c r="N17" s="399"/>
    </row>
    <row r="18" spans="2:14" x14ac:dyDescent="0.2">
      <c r="B18" s="403"/>
      <c r="C18" s="301" t="s">
        <v>333</v>
      </c>
      <c r="D18" s="301"/>
      <c r="E18" s="301"/>
      <c r="F18" s="301"/>
      <c r="G18" s="301"/>
      <c r="H18" s="301"/>
      <c r="I18" s="301"/>
      <c r="J18" s="301"/>
      <c r="K18" s="301"/>
      <c r="L18" s="301"/>
      <c r="M18" s="301"/>
      <c r="N18" s="399"/>
    </row>
    <row r="19" spans="2:14" x14ac:dyDescent="0.2">
      <c r="B19" s="403"/>
      <c r="C19" s="301"/>
      <c r="D19" s="301"/>
      <c r="E19" s="301"/>
      <c r="F19" s="301"/>
      <c r="G19" s="301"/>
      <c r="H19" s="301"/>
      <c r="I19" s="301"/>
      <c r="J19" s="301"/>
      <c r="K19" s="301"/>
      <c r="L19" s="301"/>
      <c r="M19" s="301"/>
      <c r="N19" s="399"/>
    </row>
    <row r="20" spans="2:14" x14ac:dyDescent="0.2">
      <c r="B20" s="403"/>
      <c r="C20" s="301" t="s">
        <v>279</v>
      </c>
      <c r="D20" s="301"/>
      <c r="E20" s="384"/>
      <c r="F20" s="301"/>
      <c r="G20" s="301"/>
      <c r="H20" s="301"/>
      <c r="I20" s="301"/>
      <c r="J20" s="301"/>
      <c r="K20" s="301"/>
      <c r="L20" s="301"/>
      <c r="M20" s="301"/>
      <c r="N20" s="399"/>
    </row>
    <row r="21" spans="2:14" x14ac:dyDescent="0.2">
      <c r="B21" s="403"/>
      <c r="C21" s="301" t="s">
        <v>280</v>
      </c>
      <c r="D21" s="301"/>
      <c r="E21" s="384">
        <v>2.2000000000000001E-3</v>
      </c>
      <c r="F21" s="301"/>
      <c r="G21" s="301"/>
      <c r="H21" s="301"/>
      <c r="I21" s="301"/>
      <c r="J21" s="301"/>
      <c r="K21" s="301"/>
      <c r="L21" s="301"/>
      <c r="M21" s="301"/>
      <c r="N21" s="399"/>
    </row>
    <row r="22" spans="2:14" x14ac:dyDescent="0.2">
      <c r="B22" s="403"/>
      <c r="C22" s="301" t="s">
        <v>281</v>
      </c>
      <c r="D22" s="301"/>
      <c r="E22" s="384">
        <v>3.2199999999999999E-2</v>
      </c>
      <c r="F22" s="301" t="s">
        <v>285</v>
      </c>
      <c r="G22" s="301"/>
      <c r="H22" s="301"/>
      <c r="I22" s="301"/>
      <c r="J22" s="301"/>
      <c r="K22" s="301"/>
      <c r="L22" s="301"/>
      <c r="M22" s="301"/>
      <c r="N22" s="399"/>
    </row>
    <row r="23" spans="2:14" x14ac:dyDescent="0.2">
      <c r="B23" s="403"/>
      <c r="C23" s="301" t="s">
        <v>282</v>
      </c>
      <c r="D23" s="301"/>
      <c r="E23" s="384">
        <v>2.2599999999999999E-2</v>
      </c>
      <c r="F23" s="301" t="s">
        <v>286</v>
      </c>
      <c r="G23" s="301"/>
      <c r="H23" s="301"/>
      <c r="I23" s="301"/>
      <c r="J23" s="301"/>
      <c r="K23" s="301"/>
      <c r="L23" s="301"/>
      <c r="M23" s="301"/>
      <c r="N23" s="399"/>
    </row>
    <row r="24" spans="2:14" x14ac:dyDescent="0.2">
      <c r="B24" s="403"/>
      <c r="C24" s="301" t="s">
        <v>283</v>
      </c>
      <c r="D24" s="301"/>
      <c r="E24" s="384">
        <v>6.7000000000000002E-3</v>
      </c>
      <c r="F24" s="301" t="s">
        <v>287</v>
      </c>
      <c r="G24" s="301"/>
      <c r="H24" s="301"/>
      <c r="I24" s="301"/>
      <c r="J24" s="301"/>
      <c r="K24" s="301"/>
      <c r="L24" s="301"/>
      <c r="M24" s="301"/>
      <c r="N24" s="399"/>
    </row>
    <row r="25" spans="2:14" x14ac:dyDescent="0.2">
      <c r="B25" s="403"/>
      <c r="C25" s="301" t="s">
        <v>284</v>
      </c>
      <c r="D25" s="301"/>
      <c r="E25" s="384">
        <v>2.7000000000000001E-3</v>
      </c>
      <c r="F25" s="301" t="s">
        <v>288</v>
      </c>
      <c r="G25" s="301"/>
      <c r="H25" s="301"/>
      <c r="I25" s="301"/>
      <c r="J25" s="301"/>
      <c r="K25" s="301"/>
      <c r="L25" s="301"/>
      <c r="M25" s="301"/>
      <c r="N25" s="399"/>
    </row>
    <row r="26" spans="2:14" x14ac:dyDescent="0.2">
      <c r="B26" s="403"/>
      <c r="C26" s="301" t="s">
        <v>289</v>
      </c>
      <c r="D26" s="301"/>
      <c r="E26" s="301"/>
      <c r="F26" s="301"/>
      <c r="G26" s="301"/>
      <c r="H26" s="301"/>
      <c r="I26" s="301"/>
      <c r="J26" s="301"/>
      <c r="K26" s="301"/>
      <c r="L26" s="301"/>
      <c r="M26" s="301"/>
      <c r="N26" s="399"/>
    </row>
    <row r="27" spans="2:14" x14ac:dyDescent="0.2">
      <c r="B27" s="403"/>
      <c r="C27" s="302" t="s">
        <v>243</v>
      </c>
      <c r="D27" s="301"/>
      <c r="E27" s="301"/>
      <c r="F27" s="301"/>
      <c r="G27" s="301"/>
      <c r="H27" s="301"/>
      <c r="I27" s="301"/>
      <c r="J27" s="301"/>
      <c r="K27" s="301"/>
      <c r="L27" s="301"/>
      <c r="M27" s="301"/>
      <c r="N27" s="399"/>
    </row>
    <row r="28" spans="2:14" x14ac:dyDescent="0.2">
      <c r="B28" s="403"/>
      <c r="C28" s="385" t="s">
        <v>396</v>
      </c>
      <c r="D28" s="301"/>
      <c r="E28" s="301"/>
      <c r="F28" s="301"/>
      <c r="G28" s="301"/>
      <c r="H28" s="301"/>
      <c r="I28" s="301"/>
      <c r="J28" s="301"/>
      <c r="K28" s="301"/>
      <c r="L28" s="301"/>
      <c r="M28" s="301"/>
      <c r="N28" s="399"/>
    </row>
    <row r="29" spans="2:14" x14ac:dyDescent="0.2">
      <c r="B29" s="403"/>
      <c r="C29" s="301"/>
      <c r="D29" s="301"/>
      <c r="E29" s="301"/>
      <c r="F29" s="301"/>
      <c r="G29" s="301"/>
      <c r="H29" s="301"/>
      <c r="I29" s="301"/>
      <c r="J29" s="301"/>
      <c r="K29" s="301"/>
      <c r="L29" s="301"/>
      <c r="M29" s="301"/>
      <c r="N29" s="399"/>
    </row>
    <row r="30" spans="2:14" x14ac:dyDescent="0.2">
      <c r="B30" s="403"/>
      <c r="C30" s="301" t="s">
        <v>244</v>
      </c>
      <c r="D30" s="301"/>
      <c r="E30" s="301"/>
      <c r="F30" s="301"/>
      <c r="G30" s="301"/>
      <c r="H30" s="301"/>
      <c r="I30" s="301"/>
      <c r="J30" s="301"/>
      <c r="K30" s="301"/>
      <c r="L30" s="301"/>
      <c r="M30" s="301"/>
      <c r="N30" s="399"/>
    </row>
    <row r="31" spans="2:14" x14ac:dyDescent="0.2">
      <c r="B31" s="403"/>
      <c r="C31" s="301" t="s">
        <v>202</v>
      </c>
      <c r="D31" s="301"/>
      <c r="E31" s="301"/>
      <c r="F31" s="301"/>
      <c r="G31" s="301"/>
      <c r="H31" s="301"/>
      <c r="I31" s="301"/>
      <c r="J31" s="301"/>
      <c r="K31" s="301"/>
      <c r="L31" s="301"/>
      <c r="M31" s="301"/>
      <c r="N31" s="399"/>
    </row>
    <row r="32" spans="2:14" x14ac:dyDescent="0.2">
      <c r="B32" s="403"/>
      <c r="C32" s="301" t="s">
        <v>292</v>
      </c>
      <c r="D32" s="301"/>
      <c r="E32" s="301"/>
      <c r="F32" s="301"/>
      <c r="G32" s="301"/>
      <c r="H32" s="301"/>
      <c r="I32" s="301"/>
      <c r="J32" s="301"/>
      <c r="K32" s="301"/>
      <c r="L32" s="301"/>
      <c r="M32" s="301"/>
      <c r="N32" s="399"/>
    </row>
    <row r="33" spans="2:14" x14ac:dyDescent="0.2">
      <c r="B33" s="403"/>
      <c r="C33" s="301"/>
      <c r="D33" s="301"/>
      <c r="E33" s="301"/>
      <c r="F33" s="301"/>
      <c r="G33" s="301"/>
      <c r="H33" s="301"/>
      <c r="I33" s="301"/>
      <c r="J33" s="301"/>
      <c r="K33" s="301"/>
      <c r="L33" s="301"/>
      <c r="M33" s="301"/>
      <c r="N33" s="399"/>
    </row>
    <row r="34" spans="2:14" x14ac:dyDescent="0.2">
      <c r="B34" s="403"/>
      <c r="C34" s="301" t="s">
        <v>290</v>
      </c>
      <c r="D34" s="301"/>
      <c r="E34" s="301"/>
      <c r="F34" s="301"/>
      <c r="G34" s="301"/>
      <c r="H34" s="301"/>
      <c r="I34" s="301"/>
      <c r="J34" s="301"/>
      <c r="K34" s="301"/>
      <c r="L34" s="301"/>
      <c r="M34" s="301"/>
      <c r="N34" s="399"/>
    </row>
    <row r="35" spans="2:14" x14ac:dyDescent="0.2">
      <c r="B35" s="403"/>
      <c r="C35" s="301" t="s">
        <v>324</v>
      </c>
      <c r="D35" s="301"/>
      <c r="E35" s="301"/>
      <c r="F35" s="301"/>
      <c r="G35" s="301"/>
      <c r="H35" s="301"/>
      <c r="I35" s="301"/>
      <c r="J35" s="301"/>
      <c r="K35" s="301"/>
      <c r="L35" s="301"/>
      <c r="M35" s="301"/>
      <c r="N35" s="399"/>
    </row>
    <row r="36" spans="2:14" s="386" customFormat="1" x14ac:dyDescent="0.2">
      <c r="B36" s="403"/>
      <c r="C36" s="301" t="s">
        <v>320</v>
      </c>
      <c r="D36" s="301"/>
      <c r="E36" s="301"/>
      <c r="F36" s="301"/>
      <c r="G36" s="301"/>
      <c r="H36" s="301"/>
      <c r="I36" s="301"/>
      <c r="J36" s="301"/>
      <c r="K36" s="301"/>
      <c r="L36" s="301"/>
      <c r="M36" s="301"/>
      <c r="N36" s="404"/>
    </row>
    <row r="37" spans="2:14" x14ac:dyDescent="0.2">
      <c r="B37" s="403"/>
      <c r="C37" s="301" t="s">
        <v>321</v>
      </c>
      <c r="D37" s="301"/>
      <c r="E37" s="301"/>
      <c r="F37" s="301"/>
      <c r="G37" s="301"/>
      <c r="H37" s="387"/>
      <c r="I37" s="387"/>
      <c r="J37" s="387"/>
      <c r="K37" s="301"/>
      <c r="L37" s="301"/>
      <c r="M37" s="301"/>
      <c r="N37" s="399"/>
    </row>
    <row r="38" spans="2:14" x14ac:dyDescent="0.2">
      <c r="B38" s="403"/>
      <c r="C38" s="301"/>
      <c r="D38" s="301"/>
      <c r="E38" s="301"/>
      <c r="F38" s="301"/>
      <c r="G38" s="301"/>
      <c r="H38" s="387"/>
      <c r="I38" s="387"/>
      <c r="J38" s="387"/>
      <c r="K38" s="301"/>
      <c r="L38" s="301"/>
      <c r="M38" s="301"/>
      <c r="N38" s="399"/>
    </row>
    <row r="39" spans="2:14" x14ac:dyDescent="0.2">
      <c r="B39" s="403"/>
      <c r="C39" s="308" t="s">
        <v>414</v>
      </c>
      <c r="D39" s="301"/>
      <c r="E39" s="301"/>
      <c r="F39" s="301"/>
      <c r="G39" s="301"/>
      <c r="H39" s="387"/>
      <c r="I39" s="387"/>
      <c r="J39" s="387"/>
      <c r="K39" s="301"/>
      <c r="L39" s="301"/>
      <c r="M39" s="301"/>
      <c r="N39" s="399"/>
    </row>
    <row r="40" spans="2:14" x14ac:dyDescent="0.2">
      <c r="B40" s="403"/>
      <c r="C40" s="301" t="s">
        <v>291</v>
      </c>
      <c r="D40" s="301"/>
      <c r="E40" s="301"/>
      <c r="F40" s="301"/>
      <c r="G40" s="301"/>
      <c r="H40" s="387"/>
      <c r="I40" s="387"/>
      <c r="J40" s="387"/>
      <c r="K40" s="301"/>
      <c r="L40" s="301"/>
      <c r="M40" s="301"/>
      <c r="N40" s="399"/>
    </row>
    <row r="41" spans="2:14" x14ac:dyDescent="0.2">
      <c r="B41" s="403"/>
      <c r="C41" s="405" t="s">
        <v>248</v>
      </c>
      <c r="D41" s="301"/>
      <c r="E41" s="301"/>
      <c r="F41" s="301"/>
      <c r="G41" s="301"/>
      <c r="H41" s="387"/>
      <c r="I41" s="387"/>
      <c r="J41" s="387"/>
      <c r="K41" s="301"/>
      <c r="L41" s="301"/>
      <c r="M41" s="301"/>
      <c r="N41" s="399"/>
    </row>
    <row r="42" spans="2:14" x14ac:dyDescent="0.2">
      <c r="B42" s="403"/>
      <c r="C42" s="406" t="s">
        <v>249</v>
      </c>
      <c r="D42" s="301"/>
      <c r="E42" s="301"/>
      <c r="F42" s="301"/>
      <c r="G42" s="301"/>
      <c r="H42" s="387"/>
      <c r="I42" s="387"/>
      <c r="J42" s="387"/>
      <c r="K42" s="301"/>
      <c r="L42" s="301"/>
      <c r="M42" s="301"/>
      <c r="N42" s="399"/>
    </row>
    <row r="43" spans="2:14" x14ac:dyDescent="0.2">
      <c r="B43" s="403"/>
      <c r="C43" s="301" t="s">
        <v>271</v>
      </c>
      <c r="D43" s="301"/>
      <c r="E43" s="301"/>
      <c r="F43" s="301"/>
      <c r="G43" s="301"/>
      <c r="H43" s="387"/>
      <c r="I43" s="387"/>
      <c r="J43" s="387"/>
      <c r="K43" s="301"/>
      <c r="L43" s="301"/>
      <c r="M43" s="301"/>
      <c r="N43" s="399"/>
    </row>
    <row r="44" spans="2:14" x14ac:dyDescent="0.2">
      <c r="B44" s="403"/>
      <c r="C44" s="301" t="s">
        <v>250</v>
      </c>
      <c r="D44" s="301"/>
      <c r="E44" s="301"/>
      <c r="F44" s="301"/>
      <c r="G44" s="301"/>
      <c r="H44" s="387"/>
      <c r="I44" s="387"/>
      <c r="J44" s="387"/>
      <c r="K44" s="301"/>
      <c r="L44" s="301"/>
      <c r="M44" s="301"/>
      <c r="N44" s="399"/>
    </row>
    <row r="45" spans="2:14" x14ac:dyDescent="0.2">
      <c r="B45" s="403"/>
      <c r="C45" s="406" t="s">
        <v>251</v>
      </c>
      <c r="D45" s="301"/>
      <c r="E45" s="301"/>
      <c r="F45" s="301"/>
      <c r="G45" s="301"/>
      <c r="H45" s="387"/>
      <c r="I45" s="387"/>
      <c r="J45" s="387"/>
      <c r="K45" s="301"/>
      <c r="L45" s="301"/>
      <c r="M45" s="301"/>
      <c r="N45" s="399"/>
    </row>
    <row r="46" spans="2:14" x14ac:dyDescent="0.2">
      <c r="B46" s="403"/>
      <c r="C46" s="301" t="s">
        <v>268</v>
      </c>
      <c r="D46" s="301"/>
      <c r="E46" s="301"/>
      <c r="F46" s="301"/>
      <c r="G46" s="301"/>
      <c r="H46" s="387"/>
      <c r="I46" s="387"/>
      <c r="J46" s="387"/>
      <c r="K46" s="301"/>
      <c r="L46" s="301"/>
      <c r="M46" s="301"/>
      <c r="N46" s="399"/>
    </row>
    <row r="47" spans="2:14" x14ac:dyDescent="0.2">
      <c r="B47" s="403"/>
      <c r="C47" s="383" t="s">
        <v>269</v>
      </c>
      <c r="D47" s="301"/>
      <c r="E47" s="301"/>
      <c r="F47" s="301"/>
      <c r="G47" s="301"/>
      <c r="H47" s="387"/>
      <c r="I47" s="387"/>
      <c r="J47" s="387"/>
      <c r="K47" s="301"/>
      <c r="L47" s="301"/>
      <c r="M47" s="301"/>
      <c r="N47" s="399"/>
    </row>
    <row r="48" spans="2:14" x14ac:dyDescent="0.2">
      <c r="B48" s="403"/>
      <c r="C48" s="406" t="s">
        <v>252</v>
      </c>
      <c r="D48" s="301"/>
      <c r="E48" s="301"/>
      <c r="F48" s="301"/>
      <c r="G48" s="301"/>
      <c r="H48" s="387"/>
      <c r="I48" s="387"/>
      <c r="J48" s="387"/>
      <c r="K48" s="301"/>
      <c r="L48" s="301"/>
      <c r="M48" s="301"/>
      <c r="N48" s="399"/>
    </row>
    <row r="49" spans="2:14" x14ac:dyDescent="0.2">
      <c r="B49" s="403"/>
      <c r="C49" s="301" t="s">
        <v>270</v>
      </c>
      <c r="D49" s="301"/>
      <c r="E49" s="301"/>
      <c r="F49" s="301"/>
      <c r="G49" s="301"/>
      <c r="H49" s="387"/>
      <c r="I49" s="387"/>
      <c r="J49" s="387"/>
      <c r="K49" s="301"/>
      <c r="L49" s="301"/>
      <c r="M49" s="301"/>
      <c r="N49" s="399"/>
    </row>
    <row r="50" spans="2:14" x14ac:dyDescent="0.2">
      <c r="B50" s="403"/>
      <c r="C50" s="301" t="s">
        <v>253</v>
      </c>
      <c r="D50" s="301"/>
      <c r="E50" s="301"/>
      <c r="F50" s="301"/>
      <c r="G50" s="301"/>
      <c r="H50" s="387"/>
      <c r="I50" s="387"/>
      <c r="J50" s="387"/>
      <c r="K50" s="301"/>
      <c r="L50" s="301"/>
      <c r="M50" s="301"/>
      <c r="N50" s="399"/>
    </row>
    <row r="51" spans="2:14" x14ac:dyDescent="0.2">
      <c r="B51" s="403"/>
      <c r="C51" s="301" t="s">
        <v>263</v>
      </c>
      <c r="D51" s="301"/>
      <c r="E51" s="301"/>
      <c r="F51" s="301"/>
      <c r="G51" s="301"/>
      <c r="H51" s="387"/>
      <c r="I51" s="387"/>
      <c r="J51" s="387"/>
      <c r="K51" s="301"/>
      <c r="L51" s="301"/>
      <c r="M51" s="301"/>
      <c r="N51" s="399"/>
    </row>
    <row r="52" spans="2:14" x14ac:dyDescent="0.2">
      <c r="B52" s="403"/>
      <c r="C52" s="301" t="s">
        <v>264</v>
      </c>
      <c r="D52" s="301"/>
      <c r="E52" s="301"/>
      <c r="F52" s="301"/>
      <c r="G52" s="301"/>
      <c r="H52" s="387"/>
      <c r="I52" s="387"/>
      <c r="J52" s="387"/>
      <c r="K52" s="301"/>
      <c r="L52" s="301"/>
      <c r="M52" s="301"/>
      <c r="N52" s="399"/>
    </row>
    <row r="53" spans="2:14" x14ac:dyDescent="0.2">
      <c r="B53" s="403"/>
      <c r="C53" s="301"/>
      <c r="D53" s="301"/>
      <c r="E53" s="301"/>
      <c r="F53" s="301"/>
      <c r="G53" s="301"/>
      <c r="H53" s="387"/>
      <c r="I53" s="387"/>
      <c r="J53" s="387"/>
      <c r="K53" s="301"/>
      <c r="L53" s="301"/>
      <c r="M53" s="301"/>
      <c r="N53" s="399"/>
    </row>
    <row r="54" spans="2:14" x14ac:dyDescent="0.2">
      <c r="B54" s="403"/>
      <c r="C54" s="302" t="s">
        <v>50</v>
      </c>
      <c r="D54" s="301"/>
      <c r="E54" s="301"/>
      <c r="F54" s="301"/>
      <c r="G54" s="301"/>
      <c r="H54" s="387"/>
      <c r="I54" s="387"/>
      <c r="J54" s="387"/>
      <c r="K54" s="301"/>
      <c r="L54" s="301"/>
      <c r="M54" s="301"/>
      <c r="N54" s="399"/>
    </row>
    <row r="55" spans="2:14" x14ac:dyDescent="0.2">
      <c r="B55" s="403"/>
      <c r="C55" s="301" t="s">
        <v>326</v>
      </c>
      <c r="D55" s="301"/>
      <c r="E55" s="301"/>
      <c r="F55" s="301"/>
      <c r="G55" s="301"/>
      <c r="H55" s="387"/>
      <c r="I55" s="387"/>
      <c r="J55" s="387"/>
      <c r="K55" s="301"/>
      <c r="L55" s="301"/>
      <c r="M55" s="301"/>
      <c r="N55" s="399"/>
    </row>
    <row r="56" spans="2:14" x14ac:dyDescent="0.2">
      <c r="B56" s="403"/>
      <c r="C56" s="301"/>
      <c r="D56" s="301"/>
      <c r="E56" s="301"/>
      <c r="F56" s="301"/>
      <c r="G56" s="301"/>
      <c r="H56" s="387"/>
      <c r="I56" s="387"/>
      <c r="J56" s="387"/>
      <c r="K56" s="301"/>
      <c r="L56" s="301"/>
      <c r="M56" s="301"/>
      <c r="N56" s="399"/>
    </row>
    <row r="57" spans="2:14" x14ac:dyDescent="0.2">
      <c r="B57" s="403"/>
      <c r="C57" s="302" t="s">
        <v>322</v>
      </c>
      <c r="D57" s="301"/>
      <c r="E57" s="301"/>
      <c r="F57" s="301"/>
      <c r="G57" s="301"/>
      <c r="H57" s="387"/>
      <c r="I57" s="387"/>
      <c r="J57" s="387"/>
      <c r="K57" s="301"/>
      <c r="L57" s="301"/>
      <c r="M57" s="301"/>
      <c r="N57" s="399"/>
    </row>
    <row r="58" spans="2:14" x14ac:dyDescent="0.2">
      <c r="B58" s="403"/>
      <c r="C58" s="301" t="s">
        <v>323</v>
      </c>
      <c r="D58" s="301"/>
      <c r="E58" s="301"/>
      <c r="F58" s="301"/>
      <c r="G58" s="301"/>
      <c r="H58" s="387"/>
      <c r="I58" s="387"/>
      <c r="J58" s="387"/>
      <c r="K58" s="301"/>
      <c r="L58" s="301"/>
      <c r="M58" s="301"/>
      <c r="N58" s="399"/>
    </row>
    <row r="59" spans="2:14" x14ac:dyDescent="0.2">
      <c r="B59" s="403"/>
      <c r="C59" s="301"/>
      <c r="D59" s="301"/>
      <c r="E59" s="301"/>
      <c r="F59" s="301"/>
      <c r="G59" s="301"/>
      <c r="H59" s="387"/>
      <c r="I59" s="387"/>
      <c r="J59" s="387"/>
      <c r="K59" s="301"/>
      <c r="L59" s="301"/>
      <c r="M59" s="301"/>
      <c r="N59" s="399"/>
    </row>
    <row r="60" spans="2:14" x14ac:dyDescent="0.2">
      <c r="B60" s="403"/>
      <c r="C60" s="302" t="s">
        <v>89</v>
      </c>
      <c r="D60" s="301"/>
      <c r="E60" s="301"/>
      <c r="F60" s="301"/>
      <c r="G60" s="301"/>
      <c r="H60" s="387"/>
      <c r="I60" s="387"/>
      <c r="J60" s="387"/>
      <c r="K60" s="301"/>
      <c r="L60" s="301"/>
      <c r="M60" s="301"/>
      <c r="N60" s="399"/>
    </row>
    <row r="61" spans="2:14" x14ac:dyDescent="0.2">
      <c r="B61" s="403"/>
      <c r="C61" s="301" t="s">
        <v>90</v>
      </c>
      <c r="D61" s="301"/>
      <c r="E61" s="301"/>
      <c r="F61" s="301"/>
      <c r="G61" s="301"/>
      <c r="H61" s="387"/>
      <c r="I61" s="387"/>
      <c r="J61" s="387"/>
      <c r="K61" s="301"/>
      <c r="L61" s="301"/>
      <c r="M61" s="301"/>
      <c r="N61" s="399"/>
    </row>
    <row r="62" spans="2:14" x14ac:dyDescent="0.2">
      <c r="B62" s="403"/>
      <c r="C62" s="301"/>
      <c r="D62" s="301"/>
      <c r="E62" s="301"/>
      <c r="F62" s="301"/>
      <c r="G62" s="301"/>
      <c r="H62" s="387"/>
      <c r="I62" s="387"/>
      <c r="J62" s="387"/>
      <c r="K62" s="301"/>
      <c r="L62" s="301"/>
      <c r="M62" s="301"/>
      <c r="N62" s="399"/>
    </row>
    <row r="63" spans="2:14" x14ac:dyDescent="0.2">
      <c r="B63" s="403"/>
      <c r="C63" s="302" t="s">
        <v>55</v>
      </c>
      <c r="D63" s="301"/>
      <c r="E63" s="301"/>
      <c r="F63" s="301"/>
      <c r="G63" s="301"/>
      <c r="H63" s="387"/>
      <c r="I63" s="387"/>
      <c r="J63" s="387"/>
      <c r="K63" s="301"/>
      <c r="L63" s="301"/>
      <c r="M63" s="301"/>
      <c r="N63" s="399"/>
    </row>
    <row r="64" spans="2:14" x14ac:dyDescent="0.2">
      <c r="B64" s="403"/>
      <c r="C64" s="301" t="s">
        <v>174</v>
      </c>
      <c r="D64" s="301"/>
      <c r="E64" s="301"/>
      <c r="F64" s="301"/>
      <c r="G64" s="301"/>
      <c r="H64" s="387"/>
      <c r="I64" s="387"/>
      <c r="J64" s="387"/>
      <c r="K64" s="301"/>
      <c r="L64" s="301"/>
      <c r="M64" s="301"/>
      <c r="N64" s="399"/>
    </row>
    <row r="65" spans="1:14" x14ac:dyDescent="0.2">
      <c r="B65" s="403"/>
      <c r="C65" s="301" t="s">
        <v>175</v>
      </c>
      <c r="D65" s="301"/>
      <c r="E65" s="301"/>
      <c r="F65" s="301"/>
      <c r="G65" s="301"/>
      <c r="H65" s="387"/>
      <c r="I65" s="387"/>
      <c r="J65" s="387"/>
      <c r="K65" s="301"/>
      <c r="L65" s="301"/>
      <c r="M65" s="301"/>
      <c r="N65" s="399"/>
    </row>
    <row r="66" spans="1:14" x14ac:dyDescent="0.2">
      <c r="B66" s="403"/>
      <c r="C66" s="301"/>
      <c r="D66" s="301"/>
      <c r="E66" s="301"/>
      <c r="F66" s="301"/>
      <c r="G66" s="301"/>
      <c r="H66" s="387"/>
      <c r="I66" s="387"/>
      <c r="J66" s="387"/>
      <c r="K66" s="301"/>
      <c r="L66" s="301"/>
      <c r="M66" s="301"/>
      <c r="N66" s="399"/>
    </row>
    <row r="67" spans="1:14" x14ac:dyDescent="0.2">
      <c r="B67" s="403"/>
      <c r="C67" s="308" t="s">
        <v>245</v>
      </c>
      <c r="D67" s="301"/>
      <c r="E67" s="301"/>
      <c r="F67" s="301"/>
      <c r="G67" s="301"/>
      <c r="H67" s="387"/>
      <c r="I67" s="387"/>
      <c r="J67" s="387"/>
      <c r="K67" s="301"/>
      <c r="L67" s="301"/>
      <c r="M67" s="301"/>
      <c r="N67" s="399"/>
    </row>
    <row r="68" spans="1:14" x14ac:dyDescent="0.2">
      <c r="B68" s="403"/>
      <c r="C68" s="391" t="s">
        <v>246</v>
      </c>
      <c r="D68" s="388"/>
      <c r="E68" s="388"/>
      <c r="F68" s="388"/>
      <c r="G68" s="388"/>
      <c r="H68" s="389"/>
      <c r="I68" s="389"/>
      <c r="J68" s="389"/>
      <c r="K68" s="388"/>
      <c r="L68" s="390"/>
      <c r="M68" s="390"/>
      <c r="N68" s="399"/>
    </row>
    <row r="69" spans="1:14" x14ac:dyDescent="0.2">
      <c r="B69" s="403"/>
      <c r="C69" s="391" t="s">
        <v>344</v>
      </c>
      <c r="D69" s="388"/>
      <c r="E69" s="388"/>
      <c r="F69" s="388"/>
      <c r="G69" s="388"/>
      <c r="H69" s="389"/>
      <c r="I69" s="389"/>
      <c r="J69" s="389"/>
      <c r="K69" s="388"/>
      <c r="L69" s="390"/>
      <c r="M69" s="390"/>
      <c r="N69" s="399"/>
    </row>
    <row r="70" spans="1:14" x14ac:dyDescent="0.2">
      <c r="B70" s="403"/>
      <c r="C70" s="391" t="s">
        <v>266</v>
      </c>
      <c r="D70" s="388"/>
      <c r="E70" s="388"/>
      <c r="F70" s="388"/>
      <c r="G70" s="388"/>
      <c r="H70" s="389"/>
      <c r="I70" s="389"/>
      <c r="J70" s="389"/>
      <c r="K70" s="388"/>
      <c r="L70" s="390"/>
      <c r="M70" s="390"/>
      <c r="N70" s="399"/>
    </row>
    <row r="71" spans="1:14" x14ac:dyDescent="0.2">
      <c r="A71" s="392"/>
      <c r="B71" s="403"/>
      <c r="C71" s="391" t="s">
        <v>345</v>
      </c>
      <c r="D71" s="388"/>
      <c r="E71" s="388"/>
      <c r="F71" s="388"/>
      <c r="G71" s="388"/>
      <c r="H71" s="389"/>
      <c r="I71" s="389"/>
      <c r="J71" s="389"/>
      <c r="K71" s="388"/>
      <c r="L71" s="390"/>
      <c r="M71" s="390"/>
      <c r="N71" s="399"/>
    </row>
    <row r="72" spans="1:14" x14ac:dyDescent="0.2">
      <c r="B72" s="403"/>
      <c r="C72" s="391" t="s">
        <v>197</v>
      </c>
      <c r="D72" s="388"/>
      <c r="E72" s="388"/>
      <c r="F72" s="388"/>
      <c r="G72" s="388"/>
      <c r="H72" s="389"/>
      <c r="I72" s="389"/>
      <c r="J72" s="389"/>
      <c r="K72" s="388"/>
      <c r="L72" s="390"/>
      <c r="M72" s="390"/>
      <c r="N72" s="399"/>
    </row>
    <row r="73" spans="1:14" x14ac:dyDescent="0.2">
      <c r="B73" s="403"/>
      <c r="C73" s="391" t="s">
        <v>198</v>
      </c>
      <c r="D73" s="388"/>
      <c r="E73" s="388"/>
      <c r="F73" s="388"/>
      <c r="G73" s="388"/>
      <c r="H73" s="389"/>
      <c r="I73" s="389"/>
      <c r="J73" s="389"/>
      <c r="K73" s="388"/>
      <c r="L73" s="390"/>
      <c r="M73" s="390"/>
      <c r="N73" s="399"/>
    </row>
    <row r="74" spans="1:14" x14ac:dyDescent="0.2">
      <c r="B74" s="403"/>
      <c r="C74" s="302"/>
      <c r="D74" s="301"/>
      <c r="E74" s="301"/>
      <c r="F74" s="301"/>
      <c r="G74" s="301"/>
      <c r="H74" s="387"/>
      <c r="I74" s="387"/>
      <c r="J74" s="387"/>
      <c r="K74" s="301"/>
      <c r="L74" s="301"/>
      <c r="M74" s="301"/>
      <c r="N74" s="399"/>
    </row>
    <row r="75" spans="1:14" x14ac:dyDescent="0.2">
      <c r="B75" s="403"/>
      <c r="C75" s="391" t="s">
        <v>87</v>
      </c>
      <c r="D75" s="388"/>
      <c r="E75" s="388"/>
      <c r="F75" s="388"/>
      <c r="G75" s="388"/>
      <c r="H75" s="389"/>
      <c r="I75" s="389"/>
      <c r="J75" s="389"/>
      <c r="K75" s="388"/>
      <c r="L75" s="301"/>
      <c r="M75" s="301"/>
      <c r="N75" s="399"/>
    </row>
    <row r="76" spans="1:14" x14ac:dyDescent="0.2">
      <c r="B76" s="403"/>
      <c r="C76" s="391" t="s">
        <v>88</v>
      </c>
      <c r="D76" s="388"/>
      <c r="E76" s="388"/>
      <c r="F76" s="388"/>
      <c r="G76" s="388"/>
      <c r="H76" s="389"/>
      <c r="I76" s="389"/>
      <c r="J76" s="389"/>
      <c r="K76" s="388"/>
      <c r="L76" s="301"/>
      <c r="M76" s="301"/>
      <c r="N76" s="399"/>
    </row>
    <row r="77" spans="1:14" x14ac:dyDescent="0.2">
      <c r="B77" s="403"/>
      <c r="C77" s="391" t="s">
        <v>199</v>
      </c>
      <c r="D77" s="388"/>
      <c r="E77" s="388"/>
      <c r="F77" s="388"/>
      <c r="G77" s="388"/>
      <c r="H77" s="389"/>
      <c r="I77" s="389"/>
      <c r="J77" s="389"/>
      <c r="K77" s="388"/>
      <c r="L77" s="301"/>
      <c r="M77" s="301"/>
      <c r="N77" s="399"/>
    </row>
    <row r="78" spans="1:14" x14ac:dyDescent="0.2">
      <c r="B78" s="403"/>
      <c r="C78" s="391" t="s">
        <v>247</v>
      </c>
      <c r="D78" s="388"/>
      <c r="E78" s="388"/>
      <c r="F78" s="388"/>
      <c r="G78" s="388"/>
      <c r="H78" s="389"/>
      <c r="I78" s="389"/>
      <c r="J78" s="389"/>
      <c r="K78" s="388"/>
      <c r="L78" s="301"/>
      <c r="M78" s="301"/>
      <c r="N78" s="399"/>
    </row>
    <row r="79" spans="1:14" x14ac:dyDescent="0.2">
      <c r="B79" s="403"/>
      <c r="C79" s="308"/>
      <c r="D79" s="301"/>
      <c r="E79" s="301"/>
      <c r="F79" s="301"/>
      <c r="G79" s="301"/>
      <c r="H79" s="387"/>
      <c r="I79" s="387"/>
      <c r="J79" s="387"/>
      <c r="K79" s="301"/>
      <c r="L79" s="301"/>
      <c r="M79" s="301"/>
      <c r="N79" s="399"/>
    </row>
    <row r="80" spans="1:14" x14ac:dyDescent="0.2">
      <c r="B80" s="403"/>
      <c r="C80" s="301" t="s">
        <v>254</v>
      </c>
      <c r="D80" s="301"/>
      <c r="E80" s="301"/>
      <c r="F80" s="301"/>
      <c r="G80" s="301"/>
      <c r="H80" s="387"/>
      <c r="I80" s="387"/>
      <c r="J80" s="387"/>
      <c r="K80" s="301"/>
      <c r="L80" s="301"/>
      <c r="M80" s="301"/>
      <c r="N80" s="399"/>
    </row>
    <row r="81" spans="2:14" x14ac:dyDescent="0.2">
      <c r="B81" s="403"/>
      <c r="C81" s="301" t="s">
        <v>255</v>
      </c>
      <c r="D81" s="301"/>
      <c r="E81" s="301"/>
      <c r="F81" s="301"/>
      <c r="G81" s="301"/>
      <c r="H81" s="387"/>
      <c r="I81" s="387"/>
      <c r="J81" s="387"/>
      <c r="K81" s="301"/>
      <c r="L81" s="301"/>
      <c r="M81" s="301"/>
      <c r="N81" s="399"/>
    </row>
    <row r="82" spans="2:14" x14ac:dyDescent="0.2">
      <c r="B82" s="403"/>
      <c r="C82" s="301" t="s">
        <v>172</v>
      </c>
      <c r="D82" s="301"/>
      <c r="E82" s="301"/>
      <c r="F82" s="301"/>
      <c r="G82" s="301"/>
      <c r="H82" s="387"/>
      <c r="I82" s="387"/>
      <c r="J82" s="387"/>
      <c r="K82" s="301"/>
      <c r="L82" s="301"/>
      <c r="M82" s="301"/>
      <c r="N82" s="399"/>
    </row>
    <row r="83" spans="2:14" x14ac:dyDescent="0.2">
      <c r="B83" s="403"/>
      <c r="C83" s="301" t="s">
        <v>256</v>
      </c>
      <c r="D83" s="301"/>
      <c r="E83" s="301"/>
      <c r="F83" s="301"/>
      <c r="G83" s="301"/>
      <c r="H83" s="387"/>
      <c r="I83" s="387"/>
      <c r="J83" s="387"/>
      <c r="K83" s="301"/>
      <c r="L83" s="301"/>
      <c r="M83" s="301"/>
      <c r="N83" s="399"/>
    </row>
    <row r="84" spans="2:14" x14ac:dyDescent="0.2">
      <c r="B84" s="403"/>
      <c r="C84" s="301"/>
      <c r="D84" s="301"/>
      <c r="E84" s="301"/>
      <c r="F84" s="301"/>
      <c r="G84" s="301"/>
      <c r="H84" s="387"/>
      <c r="I84" s="387"/>
      <c r="J84" s="387"/>
      <c r="K84" s="301"/>
      <c r="L84" s="301"/>
      <c r="M84" s="301"/>
      <c r="N84" s="399"/>
    </row>
    <row r="85" spans="2:14" x14ac:dyDescent="0.2">
      <c r="B85" s="403"/>
      <c r="C85" s="301" t="s">
        <v>49</v>
      </c>
      <c r="D85" s="301"/>
      <c r="E85" s="301"/>
      <c r="F85" s="301"/>
      <c r="G85" s="301"/>
      <c r="H85" s="387"/>
      <c r="I85" s="387"/>
      <c r="J85" s="387"/>
      <c r="K85" s="301"/>
      <c r="L85" s="301"/>
      <c r="M85" s="301"/>
      <c r="N85" s="399"/>
    </row>
    <row r="86" spans="2:14" x14ac:dyDescent="0.2">
      <c r="B86" s="403"/>
      <c r="C86" s="301" t="s">
        <v>257</v>
      </c>
      <c r="D86" s="301"/>
      <c r="E86" s="301"/>
      <c r="F86" s="301"/>
      <c r="G86" s="301"/>
      <c r="H86" s="387"/>
      <c r="I86" s="387"/>
      <c r="J86" s="387"/>
      <c r="K86" s="301"/>
      <c r="L86" s="301"/>
      <c r="M86" s="301"/>
      <c r="N86" s="399"/>
    </row>
    <row r="87" spans="2:14" x14ac:dyDescent="0.2">
      <c r="B87" s="403"/>
      <c r="C87" s="301" t="s">
        <v>196</v>
      </c>
      <c r="D87" s="301"/>
      <c r="E87" s="301"/>
      <c r="F87" s="301"/>
      <c r="G87" s="301"/>
      <c r="H87" s="387"/>
      <c r="I87" s="387"/>
      <c r="J87" s="387"/>
      <c r="K87" s="301"/>
      <c r="L87" s="301"/>
      <c r="M87" s="301"/>
      <c r="N87" s="399"/>
    </row>
    <row r="88" spans="2:14" x14ac:dyDescent="0.2">
      <c r="B88" s="403"/>
      <c r="C88" s="301" t="s">
        <v>295</v>
      </c>
      <c r="D88" s="301"/>
      <c r="E88" s="301"/>
      <c r="F88" s="301"/>
      <c r="G88" s="301"/>
      <c r="H88" s="387"/>
      <c r="I88" s="387"/>
      <c r="J88" s="387"/>
      <c r="K88" s="301"/>
      <c r="L88" s="301"/>
      <c r="M88" s="301"/>
      <c r="N88" s="399"/>
    </row>
    <row r="89" spans="2:14" x14ac:dyDescent="0.2">
      <c r="B89" s="403"/>
      <c r="C89" s="308"/>
      <c r="D89" s="301"/>
      <c r="E89" s="301"/>
      <c r="F89" s="301"/>
      <c r="G89" s="301"/>
      <c r="H89" s="387"/>
      <c r="I89" s="387"/>
      <c r="J89" s="387"/>
      <c r="K89" s="301"/>
      <c r="L89" s="301"/>
      <c r="M89" s="301"/>
      <c r="N89" s="399"/>
    </row>
    <row r="90" spans="2:14" x14ac:dyDescent="0.2">
      <c r="B90" s="403"/>
      <c r="C90" s="301" t="s">
        <v>397</v>
      </c>
      <c r="D90" s="301"/>
      <c r="E90" s="301"/>
      <c r="F90" s="301"/>
      <c r="G90" s="301"/>
      <c r="H90" s="387"/>
      <c r="I90" s="387"/>
      <c r="J90" s="387"/>
      <c r="K90" s="301"/>
      <c r="L90" s="301"/>
      <c r="M90" s="301"/>
      <c r="N90" s="399"/>
    </row>
    <row r="91" spans="2:14" x14ac:dyDescent="0.2">
      <c r="B91" s="403"/>
      <c r="C91" s="301" t="s">
        <v>398</v>
      </c>
      <c r="D91" s="301"/>
      <c r="E91" s="301"/>
      <c r="F91" s="301"/>
      <c r="G91" s="301"/>
      <c r="H91" s="387"/>
      <c r="I91" s="387"/>
      <c r="J91" s="387"/>
      <c r="K91" s="301"/>
      <c r="L91" s="301"/>
      <c r="M91" s="301"/>
      <c r="N91" s="399"/>
    </row>
    <row r="92" spans="2:14" x14ac:dyDescent="0.2">
      <c r="B92" s="403"/>
      <c r="C92" s="301" t="s">
        <v>200</v>
      </c>
      <c r="D92" s="301"/>
      <c r="E92" s="301"/>
      <c r="F92" s="301"/>
      <c r="G92" s="301"/>
      <c r="H92" s="387"/>
      <c r="I92" s="387"/>
      <c r="J92" s="387"/>
      <c r="K92" s="301"/>
      <c r="L92" s="301"/>
      <c r="M92" s="301"/>
      <c r="N92" s="399"/>
    </row>
    <row r="93" spans="2:14" x14ac:dyDescent="0.2">
      <c r="B93" s="403"/>
      <c r="C93" s="301"/>
      <c r="D93" s="301"/>
      <c r="E93" s="301"/>
      <c r="F93" s="301"/>
      <c r="G93" s="301"/>
      <c r="H93" s="387"/>
      <c r="I93" s="387"/>
      <c r="J93" s="387"/>
      <c r="K93" s="301"/>
      <c r="L93" s="301"/>
      <c r="M93" s="301"/>
      <c r="N93" s="399"/>
    </row>
    <row r="94" spans="2:14" x14ac:dyDescent="0.2">
      <c r="B94" s="403"/>
      <c r="C94" s="302" t="s">
        <v>413</v>
      </c>
      <c r="D94" s="301"/>
      <c r="E94" s="301"/>
      <c r="F94" s="301"/>
      <c r="G94" s="301"/>
      <c r="H94" s="387"/>
      <c r="I94" s="387"/>
      <c r="J94" s="387"/>
      <c r="K94" s="301"/>
      <c r="L94" s="301"/>
      <c r="M94" s="301"/>
      <c r="N94" s="399"/>
    </row>
    <row r="95" spans="2:14" x14ac:dyDescent="0.2">
      <c r="B95" s="403"/>
      <c r="C95" s="301" t="s">
        <v>293</v>
      </c>
      <c r="D95" s="301"/>
      <c r="E95" s="301"/>
      <c r="F95" s="301"/>
      <c r="G95" s="301"/>
      <c r="H95" s="387"/>
      <c r="I95" s="387"/>
      <c r="J95" s="387"/>
      <c r="K95" s="301"/>
      <c r="L95" s="301"/>
      <c r="M95" s="301"/>
      <c r="N95" s="399"/>
    </row>
    <row r="96" spans="2:14" x14ac:dyDescent="0.2">
      <c r="B96" s="403"/>
      <c r="C96" s="301" t="s">
        <v>294</v>
      </c>
      <c r="D96" s="301"/>
      <c r="E96" s="301"/>
      <c r="F96" s="301"/>
      <c r="G96" s="301"/>
      <c r="H96" s="387"/>
      <c r="I96" s="387"/>
      <c r="J96" s="387"/>
      <c r="K96" s="301"/>
      <c r="L96" s="301"/>
      <c r="M96" s="301"/>
      <c r="N96" s="399"/>
    </row>
    <row r="97" spans="2:14" x14ac:dyDescent="0.2">
      <c r="B97" s="403"/>
      <c r="C97" s="301" t="s">
        <v>346</v>
      </c>
      <c r="D97" s="301"/>
      <c r="E97" s="301"/>
      <c r="F97" s="301"/>
      <c r="G97" s="301"/>
      <c r="H97" s="387"/>
      <c r="I97" s="387"/>
      <c r="J97" s="387"/>
      <c r="K97" s="301"/>
      <c r="L97" s="301"/>
      <c r="M97" s="301"/>
      <c r="N97" s="399"/>
    </row>
    <row r="98" spans="2:14" x14ac:dyDescent="0.2">
      <c r="B98" s="403"/>
      <c r="C98" s="301" t="s">
        <v>152</v>
      </c>
      <c r="D98" s="301"/>
      <c r="E98" s="301"/>
      <c r="F98" s="301"/>
      <c r="G98" s="301"/>
      <c r="H98" s="387"/>
      <c r="I98" s="387"/>
      <c r="J98" s="387"/>
      <c r="K98" s="301"/>
      <c r="L98" s="381"/>
      <c r="M98" s="381"/>
      <c r="N98" s="399"/>
    </row>
    <row r="99" spans="2:14" x14ac:dyDescent="0.2">
      <c r="B99" s="403"/>
      <c r="C99" s="301"/>
      <c r="D99" s="301"/>
      <c r="E99" s="301"/>
      <c r="F99" s="301"/>
      <c r="G99" s="301"/>
      <c r="H99" s="387"/>
      <c r="I99" s="387"/>
      <c r="J99" s="387"/>
      <c r="K99" s="301"/>
      <c r="L99" s="381"/>
      <c r="M99" s="381"/>
      <c r="N99" s="399"/>
    </row>
    <row r="100" spans="2:14" x14ac:dyDescent="0.2">
      <c r="B100" s="403"/>
      <c r="C100" s="308" t="s">
        <v>399</v>
      </c>
      <c r="D100" s="301"/>
      <c r="E100" s="301"/>
      <c r="F100" s="301"/>
      <c r="G100" s="301"/>
      <c r="H100" s="387"/>
      <c r="I100" s="387"/>
      <c r="J100" s="387"/>
      <c r="K100" s="301"/>
      <c r="L100" s="381"/>
      <c r="M100" s="381"/>
      <c r="N100" s="399"/>
    </row>
    <row r="101" spans="2:14" x14ac:dyDescent="0.2">
      <c r="B101" s="403"/>
      <c r="C101" s="302" t="s">
        <v>412</v>
      </c>
      <c r="D101" s="301"/>
      <c r="E101" s="301"/>
      <c r="F101" s="301"/>
      <c r="G101" s="301"/>
      <c r="H101" s="387"/>
      <c r="I101" s="387"/>
      <c r="J101" s="387"/>
      <c r="K101" s="301"/>
      <c r="L101" s="381"/>
      <c r="M101" s="381"/>
      <c r="N101" s="399"/>
    </row>
    <row r="102" spans="2:14" x14ac:dyDescent="0.2">
      <c r="B102" s="403"/>
      <c r="C102" s="301" t="s">
        <v>400</v>
      </c>
      <c r="D102" s="301"/>
      <c r="E102" s="301"/>
      <c r="F102" s="301"/>
      <c r="G102" s="301"/>
      <c r="H102" s="387"/>
      <c r="I102" s="387"/>
      <c r="J102" s="387"/>
      <c r="K102" s="301"/>
      <c r="L102" s="381"/>
      <c r="M102" s="381"/>
      <c r="N102" s="399"/>
    </row>
    <row r="103" spans="2:14" x14ac:dyDescent="0.2">
      <c r="B103" s="403"/>
      <c r="C103" s="301" t="s">
        <v>401</v>
      </c>
      <c r="D103" s="301"/>
      <c r="E103" s="301"/>
      <c r="F103" s="301"/>
      <c r="G103" s="301"/>
      <c r="H103" s="387"/>
      <c r="I103" s="387"/>
      <c r="J103" s="387"/>
      <c r="K103" s="301"/>
      <c r="L103" s="381"/>
      <c r="M103" s="381"/>
      <c r="N103" s="399"/>
    </row>
    <row r="104" spans="2:14" x14ac:dyDescent="0.2">
      <c r="B104" s="403"/>
      <c r="C104" s="301" t="s">
        <v>321</v>
      </c>
      <c r="D104" s="301"/>
      <c r="E104" s="301"/>
      <c r="F104" s="301"/>
      <c r="G104" s="301"/>
      <c r="H104" s="387"/>
      <c r="I104" s="387"/>
      <c r="J104" s="387"/>
      <c r="K104" s="301"/>
      <c r="L104" s="381"/>
      <c r="M104" s="381"/>
      <c r="N104" s="399"/>
    </row>
    <row r="105" spans="2:14" x14ac:dyDescent="0.2">
      <c r="B105" s="403"/>
      <c r="C105" s="301" t="s">
        <v>402</v>
      </c>
      <c r="D105" s="301"/>
      <c r="E105" s="301"/>
      <c r="F105" s="301"/>
      <c r="G105" s="301"/>
      <c r="H105" s="387"/>
      <c r="I105" s="387"/>
      <c r="J105" s="387"/>
      <c r="K105" s="301"/>
      <c r="L105" s="381"/>
      <c r="M105" s="381"/>
      <c r="N105" s="399"/>
    </row>
    <row r="106" spans="2:14" x14ac:dyDescent="0.2">
      <c r="B106" s="403"/>
      <c r="C106" s="689" t="s">
        <v>403</v>
      </c>
      <c r="D106" s="301"/>
      <c r="E106" s="301"/>
      <c r="F106" s="301"/>
      <c r="G106" s="301"/>
      <c r="H106" s="387"/>
      <c r="I106" s="387"/>
      <c r="J106" s="387"/>
      <c r="K106" s="301"/>
      <c r="L106" s="381"/>
      <c r="M106" s="381"/>
      <c r="N106" s="399"/>
    </row>
    <row r="107" spans="2:14" x14ac:dyDescent="0.2">
      <c r="B107" s="403"/>
      <c r="C107" s="689" t="s">
        <v>404</v>
      </c>
      <c r="D107" s="301"/>
      <c r="E107" s="301"/>
      <c r="F107" s="301"/>
      <c r="G107" s="301"/>
      <c r="H107" s="387"/>
      <c r="I107" s="387"/>
      <c r="J107" s="387"/>
      <c r="K107" s="301"/>
      <c r="L107" s="381"/>
      <c r="M107" s="381"/>
      <c r="N107" s="399"/>
    </row>
    <row r="108" spans="2:14" x14ac:dyDescent="0.2">
      <c r="B108" s="403"/>
      <c r="C108" s="689" t="s">
        <v>405</v>
      </c>
      <c r="D108" s="301"/>
      <c r="E108" s="301"/>
      <c r="F108" s="301"/>
      <c r="G108" s="301"/>
      <c r="H108" s="387"/>
      <c r="I108" s="387"/>
      <c r="J108" s="387"/>
      <c r="K108" s="301"/>
      <c r="L108" s="381"/>
      <c r="M108" s="381"/>
      <c r="N108" s="399"/>
    </row>
    <row r="109" spans="2:14" x14ac:dyDescent="0.2">
      <c r="B109" s="403"/>
      <c r="C109" s="689" t="s">
        <v>406</v>
      </c>
      <c r="D109" s="301"/>
      <c r="E109" s="301"/>
      <c r="F109" s="301"/>
      <c r="G109" s="301"/>
      <c r="H109" s="387"/>
      <c r="I109" s="387"/>
      <c r="J109" s="387"/>
      <c r="K109" s="301"/>
      <c r="L109" s="381"/>
      <c r="M109" s="381"/>
      <c r="N109" s="399"/>
    </row>
    <row r="110" spans="2:14" x14ac:dyDescent="0.2">
      <c r="B110" s="403"/>
      <c r="C110" s="689" t="s">
        <v>407</v>
      </c>
      <c r="D110" s="301"/>
      <c r="E110" s="301"/>
      <c r="F110" s="301"/>
      <c r="G110" s="301"/>
      <c r="H110" s="387"/>
      <c r="I110" s="387"/>
      <c r="J110" s="387"/>
      <c r="K110" s="301"/>
      <c r="L110" s="381"/>
      <c r="M110" s="381"/>
      <c r="N110" s="399"/>
    </row>
    <row r="111" spans="2:14" x14ac:dyDescent="0.2">
      <c r="B111" s="403"/>
      <c r="C111" s="301" t="s">
        <v>408</v>
      </c>
      <c r="D111" s="301"/>
      <c r="E111" s="301"/>
      <c r="F111" s="301"/>
      <c r="G111" s="301"/>
      <c r="H111" s="387"/>
      <c r="I111" s="387"/>
      <c r="J111" s="387"/>
      <c r="K111" s="301"/>
      <c r="L111" s="381"/>
      <c r="M111" s="381"/>
      <c r="N111" s="399"/>
    </row>
    <row r="112" spans="2:14" x14ac:dyDescent="0.2">
      <c r="B112" s="403"/>
      <c r="C112" s="301" t="s">
        <v>409</v>
      </c>
      <c r="D112" s="301"/>
      <c r="E112" s="301"/>
      <c r="F112" s="301"/>
      <c r="G112" s="301"/>
      <c r="H112" s="387"/>
      <c r="I112" s="387"/>
      <c r="J112" s="387"/>
      <c r="K112" s="301"/>
      <c r="L112" s="381"/>
      <c r="M112" s="381"/>
      <c r="N112" s="399"/>
    </row>
    <row r="113" spans="1:14" x14ac:dyDescent="0.2">
      <c r="B113" s="403"/>
      <c r="C113" s="386" t="s">
        <v>410</v>
      </c>
      <c r="D113" s="301"/>
      <c r="E113" s="301"/>
      <c r="F113" s="301"/>
      <c r="G113" s="301"/>
      <c r="H113" s="387"/>
      <c r="I113" s="387"/>
      <c r="J113" s="387"/>
      <c r="K113" s="301"/>
      <c r="L113" s="381"/>
      <c r="M113" s="381"/>
      <c r="N113" s="399"/>
    </row>
    <row r="114" spans="1:14" x14ac:dyDescent="0.2">
      <c r="B114" s="403"/>
      <c r="C114" s="690" t="s">
        <v>417</v>
      </c>
      <c r="D114" s="301"/>
      <c r="E114" s="301"/>
      <c r="F114" s="301"/>
      <c r="G114" s="301"/>
      <c r="H114" s="387"/>
      <c r="I114" s="387"/>
      <c r="J114" s="387"/>
      <c r="K114" s="301"/>
      <c r="L114" s="381"/>
      <c r="M114" s="381"/>
      <c r="N114" s="399"/>
    </row>
    <row r="115" spans="1:14" x14ac:dyDescent="0.2">
      <c r="B115" s="403"/>
      <c r="C115" s="386" t="s">
        <v>411</v>
      </c>
      <c r="D115" s="301"/>
      <c r="E115" s="301"/>
      <c r="F115" s="301"/>
      <c r="G115" s="301"/>
      <c r="H115" s="387"/>
      <c r="I115" s="387"/>
      <c r="J115" s="387"/>
      <c r="K115" s="301"/>
      <c r="L115" s="381"/>
      <c r="M115" s="381"/>
      <c r="N115" s="399"/>
    </row>
    <row r="116" spans="1:14" x14ac:dyDescent="0.2">
      <c r="B116" s="403"/>
      <c r="C116" s="301"/>
      <c r="D116" s="301"/>
      <c r="E116" s="301"/>
      <c r="F116" s="301"/>
      <c r="G116" s="301"/>
      <c r="H116" s="387"/>
      <c r="I116" s="387"/>
      <c r="J116" s="387"/>
      <c r="K116" s="301"/>
      <c r="L116" s="381"/>
      <c r="M116" s="381"/>
      <c r="N116" s="399"/>
    </row>
    <row r="117" spans="1:14" x14ac:dyDescent="0.2">
      <c r="A117" s="392"/>
      <c r="B117" s="407"/>
      <c r="C117" s="308" t="s">
        <v>34</v>
      </c>
      <c r="D117" s="301"/>
      <c r="E117" s="301"/>
      <c r="F117" s="301"/>
      <c r="G117" s="301"/>
      <c r="H117" s="301"/>
      <c r="I117" s="301"/>
      <c r="J117" s="301"/>
      <c r="K117" s="301"/>
      <c r="L117" s="301"/>
      <c r="M117" s="301"/>
      <c r="N117" s="399"/>
    </row>
    <row r="118" spans="1:14" x14ac:dyDescent="0.2">
      <c r="A118" s="392"/>
      <c r="B118" s="407"/>
      <c r="C118" s="301" t="s">
        <v>335</v>
      </c>
      <c r="D118" s="301"/>
      <c r="E118" s="301"/>
      <c r="F118" s="301"/>
      <c r="G118" s="301"/>
      <c r="H118" s="301"/>
      <c r="I118" s="301"/>
      <c r="J118" s="301"/>
      <c r="K118" s="301"/>
      <c r="L118" s="301"/>
      <c r="M118" s="301"/>
      <c r="N118" s="399"/>
    </row>
    <row r="119" spans="1:14" x14ac:dyDescent="0.2">
      <c r="A119" s="392"/>
      <c r="B119" s="407"/>
      <c r="C119" s="301" t="s">
        <v>169</v>
      </c>
      <c r="D119" s="301"/>
      <c r="E119" s="301"/>
      <c r="F119" s="301"/>
      <c r="G119" s="301"/>
      <c r="H119" s="301"/>
      <c r="I119" s="301"/>
      <c r="J119" s="301"/>
      <c r="K119" s="301"/>
      <c r="L119" s="301"/>
      <c r="M119" s="301"/>
      <c r="N119" s="399"/>
    </row>
    <row r="120" spans="1:14" x14ac:dyDescent="0.2">
      <c r="A120" s="392"/>
      <c r="B120" s="407"/>
      <c r="C120" s="301"/>
      <c r="D120" s="301"/>
      <c r="E120" s="301"/>
      <c r="F120" s="301"/>
      <c r="G120" s="301"/>
      <c r="H120" s="301"/>
      <c r="I120" s="301"/>
      <c r="J120" s="301"/>
      <c r="K120" s="301"/>
      <c r="L120" s="301"/>
      <c r="M120" s="301"/>
      <c r="N120" s="399"/>
    </row>
    <row r="121" spans="1:14" s="386" customFormat="1" x14ac:dyDescent="0.2">
      <c r="B121" s="407"/>
      <c r="C121" s="308" t="s">
        <v>173</v>
      </c>
      <c r="D121" s="301"/>
      <c r="E121" s="301"/>
      <c r="F121" s="301"/>
      <c r="G121" s="301"/>
      <c r="H121" s="301"/>
      <c r="I121" s="301"/>
      <c r="J121" s="301"/>
      <c r="K121" s="301"/>
      <c r="L121" s="301"/>
      <c r="M121" s="301"/>
      <c r="N121" s="404"/>
    </row>
    <row r="122" spans="1:14" s="386" customFormat="1" x14ac:dyDescent="0.2">
      <c r="B122" s="407"/>
      <c r="C122" s="393" t="s">
        <v>258</v>
      </c>
      <c r="D122" s="301"/>
      <c r="E122" s="301"/>
      <c r="F122" s="301"/>
      <c r="G122" s="301"/>
      <c r="H122" s="301"/>
      <c r="I122" s="301"/>
      <c r="J122" s="393"/>
      <c r="K122" s="301"/>
      <c r="L122" s="301"/>
      <c r="M122" s="301"/>
      <c r="N122" s="404"/>
    </row>
    <row r="123" spans="1:14" ht="15.75" x14ac:dyDescent="0.25">
      <c r="B123" s="407"/>
      <c r="C123" s="308"/>
      <c r="D123" s="301"/>
      <c r="E123" s="308"/>
      <c r="F123" s="301"/>
      <c r="G123" s="301"/>
      <c r="H123" s="301"/>
      <c r="I123" s="301"/>
      <c r="J123" s="394"/>
      <c r="K123" s="301"/>
      <c r="L123" s="301"/>
      <c r="M123" s="301"/>
      <c r="N123" s="408"/>
    </row>
    <row r="124" spans="1:14" x14ac:dyDescent="0.2">
      <c r="B124" s="409"/>
      <c r="C124" s="410"/>
      <c r="D124" s="411"/>
      <c r="E124" s="411"/>
      <c r="F124" s="411"/>
      <c r="G124" s="411"/>
      <c r="H124" s="411"/>
      <c r="I124" s="411"/>
      <c r="J124" s="412"/>
      <c r="K124" s="411"/>
      <c r="L124" s="411"/>
      <c r="M124" s="411"/>
      <c r="N124" s="413"/>
    </row>
  </sheetData>
  <sheetProtection algorithmName="SHA-512" hashValue="nWE2OUh44hxvWmjW3ud6XmNAh+cH/TDIon1vIex67QZnqiQLlpHpsn42xhXdtDZc0fUTsyqyRHQpSFBhoNZSNQ==" saltValue="U4TsRE/DEwlLXyJsxJBUAg==" spinCount="100000" sheet="1" objects="1" scenarios="1"/>
  <phoneticPr fontId="6" type="noConversion"/>
  <hyperlinks>
    <hyperlink ref="C122" r:id="rId1"/>
  </hyperlinks>
  <printOptions gridLines="1"/>
  <pageMargins left="0.74803149606299213" right="0.74803149606299213" top="0.98425196850393704" bottom="0.98425196850393704" header="0.51181102362204722" footer="0.51181102362204722"/>
  <pageSetup paperSize="9" scale="74" orientation="portrait" r:id="rId2"/>
  <headerFooter alignWithMargins="0">
    <oddHeader>&amp;L&amp;"Arial,Vet"&amp;A&amp;C&amp;"Arial,Vet"&amp;D&amp;R&amp;"Arial,Vet"&amp;F</oddHeader>
    <oddFooter>&amp;L&amp;"Arial,Vet"&amp;8gemaakt door keizer en goedhart, PO-Raad&amp;R&amp;"Arial,Vet"&amp;P</oddFooter>
  </headerFooter>
  <rowBreaks count="1" manualBreakCount="1">
    <brk id="66" min="1" max="13"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119"/>
  <sheetViews>
    <sheetView zoomScale="85" zoomScaleNormal="85" zoomScaleSheetLayoutView="85" workbookViewId="0">
      <selection activeCell="B2" sqref="B2"/>
    </sheetView>
  </sheetViews>
  <sheetFormatPr defaultColWidth="9.7109375" defaultRowHeight="13.5" customHeight="1" x14ac:dyDescent="0.2"/>
  <cols>
    <col min="1" max="1" width="3.5703125" style="508" customWidth="1"/>
    <col min="2" max="2" width="2.5703125" style="512" customWidth="1"/>
    <col min="3" max="3" width="1.5703125" style="512" customWidth="1"/>
    <col min="4" max="4" width="30.5703125" style="512" customWidth="1"/>
    <col min="5" max="5" width="10.5703125" style="606" customWidth="1"/>
    <col min="6" max="6" width="1.140625" style="512" customWidth="1"/>
    <col min="7" max="8" width="10.5703125" style="606" customWidth="1"/>
    <col min="9" max="11" width="1.5703125" style="512" customWidth="1"/>
    <col min="12" max="12" width="25.5703125" style="512" customWidth="1"/>
    <col min="13" max="14" width="9.5703125" style="512" customWidth="1"/>
    <col min="15" max="15" width="1.140625" style="512" customWidth="1"/>
    <col min="16" max="16" width="12.140625" style="606" customWidth="1"/>
    <col min="17" max="17" width="10.5703125" style="606" customWidth="1"/>
    <col min="18" max="18" width="1.5703125" style="512" customWidth="1"/>
    <col min="19" max="19" width="2.5703125" style="512" customWidth="1"/>
    <col min="20" max="20" width="9.7109375" style="508"/>
    <col min="21" max="22" width="12" style="508" bestFit="1" customWidth="1"/>
    <col min="23" max="57" width="9.7109375" style="508"/>
    <col min="58" max="16384" width="9.7109375" style="512"/>
  </cols>
  <sheetData>
    <row r="1" spans="1:57" s="508" customFormat="1" ht="12.95" customHeight="1" x14ac:dyDescent="0.2">
      <c r="E1" s="590"/>
      <c r="G1" s="590"/>
      <c r="H1" s="590"/>
      <c r="P1" s="590"/>
      <c r="Q1" s="590"/>
    </row>
    <row r="2" spans="1:57" ht="12.95" customHeight="1" x14ac:dyDescent="0.2">
      <c r="B2" s="509"/>
      <c r="C2" s="510"/>
      <c r="D2" s="510"/>
      <c r="E2" s="591"/>
      <c r="F2" s="510"/>
      <c r="G2" s="591"/>
      <c r="H2" s="591"/>
      <c r="I2" s="510"/>
      <c r="J2" s="510"/>
      <c r="K2" s="510"/>
      <c r="L2" s="510"/>
      <c r="M2" s="510"/>
      <c r="N2" s="510"/>
      <c r="O2" s="510"/>
      <c r="P2" s="591"/>
      <c r="Q2" s="591"/>
      <c r="R2" s="510"/>
      <c r="S2" s="511"/>
    </row>
    <row r="3" spans="1:57" ht="12.95" customHeight="1" x14ac:dyDescent="0.2">
      <c r="B3" s="513"/>
      <c r="C3" s="514"/>
      <c r="D3" s="514"/>
      <c r="E3" s="592"/>
      <c r="F3" s="514"/>
      <c r="G3" s="592"/>
      <c r="H3" s="592"/>
      <c r="I3" s="514"/>
      <c r="J3" s="514"/>
      <c r="K3" s="514"/>
      <c r="L3" s="514"/>
      <c r="M3" s="514"/>
      <c r="N3" s="514"/>
      <c r="O3" s="514"/>
      <c r="P3" s="592"/>
      <c r="Q3" s="592"/>
      <c r="R3" s="514"/>
      <c r="S3" s="515"/>
    </row>
    <row r="4" spans="1:57" s="521" customFormat="1" ht="18" customHeight="1" x14ac:dyDescent="0.2">
      <c r="A4" s="516"/>
      <c r="B4" s="517"/>
      <c r="C4" s="518" t="str">
        <f>"WERKGEVERSLASTEN PO "&amp;tabellen!B1</f>
        <v>WERKGEVERSLASTEN PO 2019</v>
      </c>
      <c r="D4" s="519"/>
      <c r="E4" s="593"/>
      <c r="F4" s="519"/>
      <c r="G4" s="593"/>
      <c r="H4" s="593"/>
      <c r="I4" s="519"/>
      <c r="J4" s="519"/>
      <c r="K4" s="519"/>
      <c r="L4" s="519"/>
      <c r="M4" s="519"/>
      <c r="N4" s="519"/>
      <c r="O4" s="519"/>
      <c r="P4" s="593"/>
      <c r="Q4" s="593"/>
      <c r="R4" s="519"/>
      <c r="S4" s="520"/>
      <c r="T4" s="516"/>
      <c r="U4" s="516"/>
      <c r="V4" s="516"/>
      <c r="W4" s="516"/>
      <c r="X4" s="516"/>
      <c r="Y4" s="516"/>
      <c r="Z4" s="516"/>
      <c r="AA4" s="516"/>
      <c r="AB4" s="516"/>
      <c r="AC4" s="516"/>
      <c r="AD4" s="516"/>
      <c r="AE4" s="516"/>
      <c r="AF4" s="516"/>
      <c r="AG4" s="516"/>
      <c r="AH4" s="516"/>
      <c r="AI4" s="516"/>
      <c r="AJ4" s="516"/>
      <c r="AK4" s="516"/>
      <c r="AL4" s="516"/>
      <c r="AM4" s="516"/>
      <c r="AN4" s="516"/>
      <c r="AO4" s="516"/>
      <c r="AP4" s="516"/>
      <c r="AQ4" s="516"/>
      <c r="AR4" s="516"/>
      <c r="AS4" s="516"/>
      <c r="AT4" s="516"/>
      <c r="AU4" s="516"/>
      <c r="AV4" s="516"/>
      <c r="AW4" s="516"/>
      <c r="AX4" s="516"/>
      <c r="AY4" s="516"/>
      <c r="AZ4" s="516"/>
      <c r="BA4" s="516"/>
      <c r="BB4" s="516"/>
      <c r="BC4" s="516"/>
      <c r="BD4" s="516"/>
      <c r="BE4" s="516"/>
    </row>
    <row r="5" spans="1:57" s="527" customFormat="1" ht="17.25" customHeight="1" x14ac:dyDescent="0.2">
      <c r="A5" s="522"/>
      <c r="B5" s="523"/>
      <c r="C5" s="524" t="str">
        <f>+tabellen!C1 &amp;" "&amp; tabellen!B1</f>
        <v xml:space="preserve"> vanaf 1 januari 2019</v>
      </c>
      <c r="D5" s="525"/>
      <c r="E5" s="594"/>
      <c r="F5" s="525"/>
      <c r="G5" s="607"/>
      <c r="H5" s="607"/>
      <c r="I5" s="525"/>
      <c r="J5" s="525"/>
      <c r="K5" s="525"/>
      <c r="L5" s="525"/>
      <c r="M5" s="525"/>
      <c r="N5" s="525"/>
      <c r="O5" s="525"/>
      <c r="P5" s="594"/>
      <c r="Q5" s="594"/>
      <c r="R5" s="525"/>
      <c r="S5" s="526"/>
      <c r="T5" s="522"/>
      <c r="U5" s="522"/>
      <c r="V5" s="522"/>
      <c r="W5" s="522"/>
      <c r="X5" s="522"/>
      <c r="Y5" s="522"/>
      <c r="Z5" s="522"/>
      <c r="AA5" s="522"/>
      <c r="AB5" s="522"/>
      <c r="AC5" s="522"/>
      <c r="AD5" s="522"/>
      <c r="AE5" s="522"/>
      <c r="AF5" s="522"/>
      <c r="AG5" s="522"/>
      <c r="AH5" s="522"/>
      <c r="AI5" s="522"/>
      <c r="AJ5" s="522"/>
      <c r="AK5" s="522"/>
      <c r="AL5" s="522"/>
      <c r="AM5" s="522"/>
      <c r="AN5" s="522"/>
      <c r="AO5" s="522"/>
      <c r="AP5" s="522"/>
      <c r="AQ5" s="522"/>
      <c r="AR5" s="522"/>
      <c r="AS5" s="522"/>
      <c r="AT5" s="522"/>
      <c r="AU5" s="522"/>
      <c r="AV5" s="522"/>
      <c r="AW5" s="522"/>
      <c r="AX5" s="522"/>
      <c r="AY5" s="522"/>
      <c r="AZ5" s="522"/>
      <c r="BA5" s="522"/>
      <c r="BB5" s="522"/>
      <c r="BC5" s="522"/>
      <c r="BD5" s="522"/>
      <c r="BE5" s="522"/>
    </row>
    <row r="6" spans="1:57" ht="12.95" customHeight="1" x14ac:dyDescent="0.2">
      <c r="B6" s="513"/>
      <c r="C6" s="514"/>
      <c r="D6" s="514"/>
      <c r="E6" s="592"/>
      <c r="F6" s="514"/>
      <c r="G6" s="608"/>
      <c r="H6" s="608"/>
      <c r="I6" s="514"/>
      <c r="J6" s="514"/>
      <c r="K6" s="514"/>
      <c r="L6" s="514"/>
      <c r="M6" s="514"/>
      <c r="N6" s="514"/>
      <c r="O6" s="514"/>
      <c r="P6" s="592"/>
      <c r="Q6" s="592"/>
      <c r="R6" s="514"/>
      <c r="S6" s="515"/>
    </row>
    <row r="7" spans="1:57" ht="12.95" customHeight="1" x14ac:dyDescent="0.2">
      <c r="B7" s="513"/>
      <c r="C7" s="514"/>
      <c r="D7" s="514"/>
      <c r="E7" s="592"/>
      <c r="F7" s="514"/>
      <c r="G7" s="608"/>
      <c r="H7" s="608"/>
      <c r="I7" s="514"/>
      <c r="J7" s="514"/>
      <c r="K7" s="514"/>
      <c r="L7" s="514"/>
      <c r="M7" s="514"/>
      <c r="N7" s="514"/>
      <c r="O7" s="514"/>
      <c r="P7" s="592"/>
      <c r="Q7" s="592"/>
      <c r="R7" s="514"/>
      <c r="S7" s="515"/>
    </row>
    <row r="8" spans="1:57" ht="12.95" customHeight="1" x14ac:dyDescent="0.2">
      <c r="B8" s="513"/>
      <c r="C8" s="514"/>
      <c r="D8" s="514"/>
      <c r="E8" s="592"/>
      <c r="F8" s="514"/>
      <c r="G8" s="608"/>
      <c r="H8" s="608"/>
      <c r="I8" s="514"/>
      <c r="J8" s="514"/>
      <c r="K8" s="514"/>
      <c r="L8" s="514"/>
      <c r="M8" s="514"/>
      <c r="N8" s="514"/>
      <c r="O8" s="514"/>
      <c r="P8" s="592"/>
      <c r="Q8" s="592"/>
      <c r="R8" s="514"/>
      <c r="S8" s="515"/>
    </row>
    <row r="9" spans="1:57" s="536" customFormat="1" ht="12.95" customHeight="1" x14ac:dyDescent="0.2">
      <c r="A9" s="528"/>
      <c r="B9" s="529"/>
      <c r="C9" s="530"/>
      <c r="D9" s="530"/>
      <c r="E9" s="595"/>
      <c r="F9" s="531"/>
      <c r="G9" s="595"/>
      <c r="H9" s="595"/>
      <c r="I9" s="530"/>
      <c r="J9" s="532"/>
      <c r="K9" s="533"/>
      <c r="L9" s="530"/>
      <c r="M9" s="534"/>
      <c r="N9" s="530"/>
      <c r="O9" s="544"/>
      <c r="P9" s="615"/>
      <c r="Q9" s="598"/>
      <c r="R9" s="530"/>
      <c r="S9" s="535"/>
      <c r="T9" s="528"/>
      <c r="U9" s="528"/>
      <c r="V9" s="528"/>
      <c r="W9" s="528"/>
      <c r="X9" s="528"/>
      <c r="Y9" s="528"/>
      <c r="Z9" s="528"/>
      <c r="AA9" s="528"/>
      <c r="AB9" s="528"/>
      <c r="AC9" s="528"/>
      <c r="AD9" s="528"/>
      <c r="AE9" s="528"/>
      <c r="AF9" s="528"/>
      <c r="AG9" s="528"/>
      <c r="AH9" s="528"/>
      <c r="AI9" s="528"/>
      <c r="AJ9" s="528"/>
      <c r="AK9" s="528"/>
      <c r="AL9" s="528"/>
      <c r="AM9" s="528"/>
      <c r="AN9" s="528"/>
      <c r="AO9" s="528"/>
      <c r="AP9" s="528"/>
      <c r="AQ9" s="528"/>
      <c r="AR9" s="528"/>
      <c r="AS9" s="528"/>
      <c r="AT9" s="528"/>
      <c r="AU9" s="528"/>
      <c r="AV9" s="528"/>
      <c r="AW9" s="528"/>
      <c r="AX9" s="528"/>
      <c r="AY9" s="528"/>
      <c r="AZ9" s="528"/>
      <c r="BA9" s="528"/>
      <c r="BB9" s="528"/>
      <c r="BC9" s="528"/>
      <c r="BD9" s="528"/>
      <c r="BE9" s="528"/>
    </row>
    <row r="10" spans="1:57" s="536" customFormat="1" ht="12.95" customHeight="1" x14ac:dyDescent="0.2">
      <c r="A10" s="528"/>
      <c r="B10" s="529"/>
      <c r="C10" s="530"/>
      <c r="D10" s="533" t="s">
        <v>309</v>
      </c>
      <c r="E10" s="595"/>
      <c r="F10" s="531"/>
      <c r="G10" s="595"/>
      <c r="H10" s="595"/>
      <c r="I10" s="530"/>
      <c r="J10" s="532"/>
      <c r="K10" s="530"/>
      <c r="L10" s="537" t="s">
        <v>416</v>
      </c>
      <c r="M10" s="537"/>
      <c r="N10" s="538"/>
      <c r="O10" s="544"/>
      <c r="P10" s="615"/>
      <c r="Q10" s="631">
        <f>+G63/G24-1</f>
        <v>0.55515530124201207</v>
      </c>
      <c r="R10" s="530"/>
      <c r="S10" s="535"/>
      <c r="T10" s="528"/>
      <c r="U10" s="528"/>
      <c r="V10" s="528"/>
      <c r="W10" s="528"/>
      <c r="X10" s="528"/>
      <c r="Y10" s="528"/>
      <c r="Z10" s="528"/>
      <c r="AA10" s="528"/>
      <c r="AB10" s="528"/>
      <c r="AC10" s="528"/>
      <c r="AD10" s="528"/>
      <c r="AE10" s="528"/>
      <c r="AF10" s="528"/>
      <c r="AG10" s="528"/>
      <c r="AH10" s="528"/>
      <c r="AI10" s="528"/>
      <c r="AJ10" s="528"/>
      <c r="AK10" s="528"/>
      <c r="AL10" s="528"/>
      <c r="AM10" s="528"/>
      <c r="AN10" s="528"/>
      <c r="AO10" s="528"/>
      <c r="AP10" s="528"/>
      <c r="AQ10" s="528"/>
      <c r="AR10" s="528"/>
      <c r="AS10" s="528"/>
      <c r="AT10" s="528"/>
      <c r="AU10" s="528"/>
      <c r="AV10" s="528"/>
      <c r="AW10" s="528"/>
      <c r="AX10" s="528"/>
      <c r="AY10" s="528"/>
      <c r="AZ10" s="528"/>
      <c r="BA10" s="528"/>
      <c r="BB10" s="528"/>
      <c r="BC10" s="528"/>
      <c r="BD10" s="528"/>
      <c r="BE10" s="528"/>
    </row>
    <row r="11" spans="1:57" s="536" customFormat="1" ht="12.95" customHeight="1" x14ac:dyDescent="0.2">
      <c r="A11" s="528"/>
      <c r="B11" s="529"/>
      <c r="C11" s="530"/>
      <c r="D11" s="539"/>
      <c r="E11" s="595"/>
      <c r="F11" s="540"/>
      <c r="G11" s="609"/>
      <c r="H11" s="609"/>
      <c r="I11" s="530"/>
      <c r="J11" s="532"/>
      <c r="K11" s="530"/>
      <c r="L11" s="542" t="s">
        <v>368</v>
      </c>
      <c r="M11" s="543"/>
      <c r="N11" s="544"/>
      <c r="O11" s="544"/>
      <c r="P11" s="615"/>
      <c r="Q11" s="632">
        <f>G63/G40-1</f>
        <v>0.34614877642611042</v>
      </c>
      <c r="R11" s="538"/>
      <c r="S11" s="535"/>
      <c r="T11" s="528"/>
      <c r="U11" s="528"/>
      <c r="V11" s="528"/>
      <c r="W11" s="528"/>
      <c r="X11" s="528"/>
      <c r="Y11" s="528"/>
      <c r="Z11" s="528"/>
      <c r="AA11" s="528"/>
      <c r="AB11" s="528"/>
      <c r="AC11" s="528"/>
      <c r="AD11" s="528"/>
      <c r="AE11" s="528"/>
      <c r="AF11" s="528"/>
      <c r="AG11" s="528"/>
      <c r="AH11" s="528"/>
      <c r="AI11" s="528"/>
      <c r="AJ11" s="528"/>
      <c r="AK11" s="528"/>
      <c r="AL11" s="528"/>
      <c r="AM11" s="528"/>
      <c r="AN11" s="528"/>
      <c r="AO11" s="528"/>
      <c r="AP11" s="528"/>
      <c r="AQ11" s="528"/>
      <c r="AR11" s="528"/>
      <c r="AS11" s="528"/>
      <c r="AT11" s="528"/>
      <c r="AU11" s="528"/>
      <c r="AV11" s="528"/>
      <c r="AW11" s="528"/>
      <c r="AX11" s="528"/>
      <c r="AY11" s="528"/>
      <c r="AZ11" s="528"/>
      <c r="BA11" s="528"/>
      <c r="BB11" s="528"/>
      <c r="BC11" s="528"/>
      <c r="BD11" s="528"/>
      <c r="BE11" s="528"/>
    </row>
    <row r="12" spans="1:57" s="536" customFormat="1" ht="12.95" customHeight="1" x14ac:dyDescent="0.2">
      <c r="A12" s="528"/>
      <c r="B12" s="529"/>
      <c r="C12" s="530"/>
      <c r="D12" s="530" t="s">
        <v>54</v>
      </c>
      <c r="E12" s="595"/>
      <c r="F12" s="531"/>
      <c r="G12" s="643" t="s">
        <v>32</v>
      </c>
      <c r="H12" s="610"/>
      <c r="I12" s="530"/>
      <c r="J12" s="532"/>
      <c r="K12" s="542" t="s">
        <v>361</v>
      </c>
      <c r="L12" s="541" t="s">
        <v>390</v>
      </c>
      <c r="M12" s="645"/>
      <c r="N12" s="542"/>
      <c r="O12" s="542"/>
      <c r="P12" s="646"/>
      <c r="Q12" s="682">
        <f>G40/G24</f>
        <v>1.1552625745950555</v>
      </c>
      <c r="R12" s="545"/>
      <c r="S12" s="535"/>
      <c r="T12" s="528"/>
      <c r="U12" s="528"/>
      <c r="V12" s="528"/>
      <c r="W12" s="528"/>
      <c r="X12" s="528"/>
      <c r="Y12" s="528"/>
      <c r="Z12" s="528"/>
      <c r="AA12" s="528"/>
      <c r="AB12" s="528"/>
      <c r="AC12" s="528"/>
      <c r="AD12" s="528"/>
      <c r="AE12" s="528"/>
      <c r="AF12" s="528"/>
      <c r="AG12" s="528"/>
      <c r="AH12" s="528"/>
      <c r="AI12" s="528"/>
      <c r="AJ12" s="528"/>
      <c r="AK12" s="528"/>
      <c r="AL12" s="528"/>
      <c r="AM12" s="528"/>
      <c r="AN12" s="528"/>
      <c r="AO12" s="528"/>
      <c r="AP12" s="528"/>
      <c r="AQ12" s="528"/>
      <c r="AR12" s="528"/>
      <c r="AS12" s="528"/>
      <c r="AT12" s="528"/>
      <c r="AU12" s="528"/>
      <c r="AV12" s="528"/>
      <c r="AW12" s="528"/>
      <c r="AX12" s="528"/>
      <c r="AY12" s="528"/>
      <c r="AZ12" s="528"/>
      <c r="BA12" s="528"/>
      <c r="BB12" s="528"/>
      <c r="BC12" s="528"/>
      <c r="BD12" s="528"/>
      <c r="BE12" s="528"/>
    </row>
    <row r="13" spans="1:57" s="536" customFormat="1" ht="12.95" customHeight="1" x14ac:dyDescent="0.2">
      <c r="A13" s="528"/>
      <c r="B13" s="546"/>
      <c r="C13" s="533"/>
      <c r="D13" s="530" t="s">
        <v>194</v>
      </c>
      <c r="E13" s="595"/>
      <c r="F13" s="531"/>
      <c r="G13" s="611">
        <v>21551</v>
      </c>
      <c r="H13" s="595"/>
      <c r="I13" s="530"/>
      <c r="J13" s="532"/>
      <c r="K13" s="542"/>
      <c r="L13" s="541" t="s">
        <v>391</v>
      </c>
      <c r="M13" s="541"/>
      <c r="N13" s="541"/>
      <c r="O13" s="541"/>
      <c r="P13" s="601"/>
      <c r="Q13" s="683">
        <f>G63/G40</f>
        <v>1.3461487764261104</v>
      </c>
      <c r="R13" s="545"/>
      <c r="S13" s="535"/>
      <c r="T13" s="528"/>
      <c r="U13" s="528"/>
      <c r="V13" s="528"/>
      <c r="W13" s="528"/>
      <c r="X13" s="528"/>
      <c r="Y13" s="528"/>
      <c r="Z13" s="528"/>
      <c r="AA13" s="528"/>
      <c r="AB13" s="528"/>
      <c r="AC13" s="528"/>
      <c r="AD13" s="528"/>
      <c r="AE13" s="528"/>
      <c r="AF13" s="528"/>
      <c r="AG13" s="528"/>
      <c r="AH13" s="528"/>
      <c r="AI13" s="528"/>
      <c r="AJ13" s="528"/>
      <c r="AK13" s="528"/>
      <c r="AL13" s="528"/>
      <c r="AM13" s="528"/>
      <c r="AN13" s="528"/>
      <c r="AO13" s="528"/>
      <c r="AP13" s="528"/>
      <c r="AQ13" s="528"/>
      <c r="AR13" s="528"/>
      <c r="AS13" s="528"/>
      <c r="AT13" s="528"/>
      <c r="AU13" s="528"/>
      <c r="AV13" s="528"/>
      <c r="AW13" s="528"/>
      <c r="AX13" s="528"/>
      <c r="AY13" s="528"/>
      <c r="AZ13" s="528"/>
      <c r="BA13" s="528"/>
      <c r="BB13" s="528"/>
      <c r="BC13" s="528"/>
      <c r="BD13" s="528"/>
      <c r="BE13" s="528"/>
    </row>
    <row r="14" spans="1:57" s="536" customFormat="1" ht="12.95" customHeight="1" x14ac:dyDescent="0.2">
      <c r="A14" s="528"/>
      <c r="B14" s="529"/>
      <c r="C14" s="530"/>
      <c r="D14" s="533"/>
      <c r="E14" s="595"/>
      <c r="F14" s="531"/>
      <c r="G14" s="612">
        <f ca="1">YEAR(tabellen!F1)-YEAR(G13)</f>
        <v>59</v>
      </c>
      <c r="H14" s="612">
        <f ca="1">MONTH(tabellen!F1)-MONTH(G13)</f>
        <v>8</v>
      </c>
      <c r="I14" s="530"/>
      <c r="J14" s="532"/>
      <c r="K14" s="530"/>
      <c r="L14" s="541" t="s">
        <v>392</v>
      </c>
      <c r="M14" s="541"/>
      <c r="N14" s="541"/>
      <c r="O14" s="541"/>
      <c r="P14" s="601"/>
      <c r="Q14" s="683">
        <f>G63/G24</f>
        <v>1.5551553012420121</v>
      </c>
      <c r="R14" s="530"/>
      <c r="S14" s="535"/>
      <c r="T14" s="528"/>
      <c r="U14" s="528"/>
      <c r="V14" s="528"/>
      <c r="W14" s="528"/>
      <c r="X14" s="528"/>
      <c r="Y14" s="528"/>
      <c r="Z14" s="528"/>
      <c r="AA14" s="528"/>
      <c r="AB14" s="528"/>
      <c r="AC14" s="528"/>
      <c r="AD14" s="528"/>
      <c r="AE14" s="528"/>
      <c r="AF14" s="528"/>
      <c r="AG14" s="528"/>
      <c r="AH14" s="528"/>
      <c r="AI14" s="528"/>
      <c r="AJ14" s="528"/>
      <c r="AK14" s="528"/>
      <c r="AL14" s="528"/>
      <c r="AM14" s="528"/>
      <c r="AN14" s="528"/>
      <c r="AO14" s="528"/>
      <c r="AP14" s="528"/>
      <c r="AQ14" s="528"/>
      <c r="AR14" s="528"/>
      <c r="AS14" s="528"/>
      <c r="AT14" s="528"/>
      <c r="AU14" s="528"/>
      <c r="AV14" s="528"/>
      <c r="AW14" s="528"/>
      <c r="AX14" s="528"/>
      <c r="AY14" s="528"/>
      <c r="AZ14" s="528"/>
      <c r="BA14" s="528"/>
      <c r="BB14" s="528"/>
      <c r="BC14" s="528"/>
      <c r="BD14" s="528"/>
      <c r="BE14" s="528"/>
    </row>
    <row r="15" spans="1:57" s="536" customFormat="1" ht="12.95" customHeight="1" x14ac:dyDescent="0.2">
      <c r="A15" s="528"/>
      <c r="B15" s="529"/>
      <c r="C15" s="514"/>
      <c r="D15" s="514"/>
      <c r="E15" s="592"/>
      <c r="F15" s="514"/>
      <c r="G15" s="592"/>
      <c r="H15" s="592"/>
      <c r="I15" s="514"/>
      <c r="J15" s="532"/>
      <c r="K15" s="530"/>
      <c r="L15" s="530"/>
      <c r="M15" s="530"/>
      <c r="N15" s="530"/>
      <c r="O15" s="530"/>
      <c r="P15" s="598"/>
      <c r="Q15" s="598"/>
      <c r="R15" s="530"/>
      <c r="S15" s="535"/>
      <c r="T15" s="528"/>
      <c r="U15" s="528"/>
      <c r="V15" s="528"/>
      <c r="W15" s="528"/>
      <c r="X15" s="528"/>
      <c r="Y15" s="528"/>
      <c r="Z15" s="528"/>
      <c r="AA15" s="528"/>
      <c r="AB15" s="528"/>
      <c r="AC15" s="528"/>
      <c r="AD15" s="528"/>
      <c r="AE15" s="528"/>
      <c r="AF15" s="528"/>
      <c r="AG15" s="528"/>
      <c r="AH15" s="528"/>
      <c r="AI15" s="528"/>
      <c r="AJ15" s="528"/>
      <c r="AK15" s="528"/>
      <c r="AL15" s="528"/>
      <c r="AM15" s="528"/>
      <c r="AN15" s="528"/>
      <c r="AO15" s="528"/>
      <c r="AP15" s="528"/>
      <c r="AQ15" s="528"/>
      <c r="AR15" s="528"/>
      <c r="AS15" s="528"/>
      <c r="AT15" s="528"/>
      <c r="AU15" s="528"/>
      <c r="AV15" s="528"/>
      <c r="AW15" s="528"/>
      <c r="AX15" s="528"/>
      <c r="AY15" s="528"/>
      <c r="AZ15" s="528"/>
      <c r="BA15" s="528"/>
      <c r="BB15" s="528"/>
      <c r="BC15" s="528"/>
      <c r="BD15" s="528"/>
      <c r="BE15" s="528"/>
    </row>
    <row r="16" spans="1:57" s="536" customFormat="1" ht="12.95" customHeight="1" x14ac:dyDescent="0.2">
      <c r="A16" s="528"/>
      <c r="B16" s="529"/>
      <c r="C16" s="530"/>
      <c r="D16" s="533"/>
      <c r="E16" s="595"/>
      <c r="F16" s="531"/>
      <c r="G16" s="595"/>
      <c r="H16" s="595"/>
      <c r="I16" s="530"/>
      <c r="J16" s="532"/>
      <c r="K16" s="547"/>
      <c r="L16" s="547"/>
      <c r="M16" s="547"/>
      <c r="N16" s="547"/>
      <c r="O16" s="547"/>
      <c r="P16" s="633"/>
      <c r="Q16" s="633"/>
      <c r="R16" s="547"/>
      <c r="S16" s="535"/>
      <c r="T16" s="528"/>
      <c r="U16" s="528"/>
      <c r="V16" s="528"/>
      <c r="W16" s="528"/>
      <c r="X16" s="528"/>
      <c r="Y16" s="528"/>
      <c r="Z16" s="528"/>
      <c r="AA16" s="528"/>
      <c r="AB16" s="528"/>
      <c r="AC16" s="528"/>
      <c r="AD16" s="528"/>
      <c r="AE16" s="528"/>
      <c r="AF16" s="528"/>
      <c r="AG16" s="528"/>
      <c r="AH16" s="528"/>
      <c r="AI16" s="528"/>
      <c r="AJ16" s="528"/>
      <c r="AK16" s="528"/>
      <c r="AL16" s="528"/>
      <c r="AM16" s="528"/>
      <c r="AN16" s="528"/>
      <c r="AO16" s="528"/>
      <c r="AP16" s="528"/>
      <c r="AQ16" s="528"/>
      <c r="AR16" s="528"/>
      <c r="AS16" s="528"/>
      <c r="AT16" s="528"/>
      <c r="AU16" s="528"/>
      <c r="AV16" s="528"/>
      <c r="AW16" s="528"/>
      <c r="AX16" s="528"/>
      <c r="AY16" s="528"/>
      <c r="AZ16" s="528"/>
      <c r="BA16" s="528"/>
      <c r="BB16" s="528"/>
      <c r="BC16" s="528"/>
      <c r="BD16" s="528"/>
      <c r="BE16" s="528"/>
    </row>
    <row r="17" spans="1:57" s="536" customFormat="1" ht="12.95" customHeight="1" x14ac:dyDescent="0.2">
      <c r="A17" s="528"/>
      <c r="B17" s="529"/>
      <c r="C17" s="530"/>
      <c r="D17" s="533" t="s">
        <v>373</v>
      </c>
      <c r="E17" s="595"/>
      <c r="F17" s="531"/>
      <c r="G17" s="595"/>
      <c r="H17" s="595"/>
      <c r="I17" s="530"/>
      <c r="J17" s="532"/>
      <c r="K17" s="530"/>
      <c r="L17" s="530"/>
      <c r="M17" s="530"/>
      <c r="N17" s="530"/>
      <c r="O17" s="530"/>
      <c r="P17" s="598"/>
      <c r="Q17" s="598"/>
      <c r="R17" s="530"/>
      <c r="S17" s="535"/>
      <c r="T17" s="528"/>
      <c r="U17" s="528"/>
      <c r="V17" s="528"/>
      <c r="W17" s="528"/>
      <c r="X17" s="528"/>
      <c r="Y17" s="528"/>
      <c r="Z17" s="528"/>
      <c r="AA17" s="528"/>
      <c r="AB17" s="528"/>
      <c r="AC17" s="528"/>
      <c r="AD17" s="528"/>
      <c r="AE17" s="528"/>
      <c r="AF17" s="528"/>
      <c r="AG17" s="528"/>
      <c r="AH17" s="528"/>
      <c r="AI17" s="528"/>
      <c r="AJ17" s="528"/>
      <c r="AK17" s="528"/>
      <c r="AL17" s="528"/>
      <c r="AM17" s="528"/>
      <c r="AN17" s="528"/>
      <c r="AO17" s="528"/>
      <c r="AP17" s="528"/>
      <c r="AQ17" s="528"/>
      <c r="AR17" s="528"/>
      <c r="AS17" s="528"/>
      <c r="AT17" s="528"/>
      <c r="AU17" s="528"/>
      <c r="AV17" s="528"/>
      <c r="AW17" s="528"/>
      <c r="AX17" s="528"/>
      <c r="AY17" s="528"/>
      <c r="AZ17" s="528"/>
      <c r="BA17" s="528"/>
      <c r="BB17" s="528"/>
      <c r="BC17" s="528"/>
      <c r="BD17" s="528"/>
      <c r="BE17" s="528"/>
    </row>
    <row r="18" spans="1:57" s="536" customFormat="1" ht="12.95" customHeight="1" x14ac:dyDescent="0.2">
      <c r="A18" s="528"/>
      <c r="B18" s="529"/>
      <c r="C18" s="530"/>
      <c r="D18" s="533"/>
      <c r="E18" s="595"/>
      <c r="F18" s="531"/>
      <c r="G18" s="613"/>
      <c r="H18" s="614"/>
      <c r="I18" s="530"/>
      <c r="J18" s="532"/>
      <c r="K18" s="530"/>
      <c r="L18" s="533" t="s">
        <v>308</v>
      </c>
      <c r="M18" s="530"/>
      <c r="N18" s="530"/>
      <c r="O18" s="530"/>
      <c r="P18" s="598"/>
      <c r="Q18" s="598"/>
      <c r="R18" s="530"/>
      <c r="S18" s="535"/>
      <c r="T18" s="528"/>
      <c r="U18" s="528"/>
      <c r="V18" s="528"/>
      <c r="W18" s="528"/>
      <c r="X18" s="528"/>
      <c r="Y18" s="528"/>
      <c r="Z18" s="528"/>
      <c r="AA18" s="528"/>
      <c r="AB18" s="528"/>
      <c r="AC18" s="528"/>
      <c r="AD18" s="528"/>
      <c r="AE18" s="528"/>
      <c r="AF18" s="528"/>
      <c r="AG18" s="528"/>
      <c r="AH18" s="528"/>
      <c r="AI18" s="528"/>
      <c r="AJ18" s="528"/>
      <c r="AK18" s="528"/>
      <c r="AL18" s="528"/>
      <c r="AM18" s="528"/>
      <c r="AN18" s="528"/>
      <c r="AO18" s="528"/>
      <c r="AP18" s="528"/>
      <c r="AQ18" s="528"/>
      <c r="AR18" s="528"/>
      <c r="AS18" s="528"/>
      <c r="AT18" s="528"/>
      <c r="AU18" s="528"/>
      <c r="AV18" s="528"/>
      <c r="AW18" s="528"/>
      <c r="AX18" s="528"/>
      <c r="AY18" s="528"/>
      <c r="AZ18" s="528"/>
      <c r="BA18" s="528"/>
      <c r="BB18" s="528"/>
      <c r="BC18" s="528"/>
      <c r="BD18" s="528"/>
      <c r="BE18" s="528"/>
    </row>
    <row r="19" spans="1:57" s="536" customFormat="1" ht="12.95" customHeight="1" x14ac:dyDescent="0.2">
      <c r="A19" s="528"/>
      <c r="B19" s="529"/>
      <c r="C19" s="530"/>
      <c r="D19" s="539" t="s">
        <v>23</v>
      </c>
      <c r="E19" s="595"/>
      <c r="F19" s="531"/>
      <c r="G19" s="613" t="s">
        <v>47</v>
      </c>
      <c r="H19" s="614" t="s">
        <v>48</v>
      </c>
      <c r="I19" s="530"/>
      <c r="J19" s="532"/>
      <c r="K19" s="530"/>
      <c r="L19" s="530"/>
      <c r="M19" s="530"/>
      <c r="N19" s="530"/>
      <c r="O19" s="530"/>
      <c r="P19" s="598"/>
      <c r="Q19" s="598"/>
      <c r="R19" s="530"/>
      <c r="S19" s="535"/>
      <c r="T19" s="528"/>
      <c r="U19" s="528"/>
      <c r="V19" s="528"/>
      <c r="W19" s="528"/>
      <c r="X19" s="528"/>
      <c r="Y19" s="528"/>
      <c r="Z19" s="528"/>
      <c r="AA19" s="528"/>
      <c r="AB19" s="528"/>
      <c r="AC19" s="528"/>
      <c r="AD19" s="528"/>
      <c r="AE19" s="528"/>
      <c r="AF19" s="528"/>
      <c r="AG19" s="528"/>
      <c r="AH19" s="528"/>
      <c r="AI19" s="528"/>
      <c r="AJ19" s="528"/>
      <c r="AK19" s="528"/>
      <c r="AL19" s="528"/>
      <c r="AM19" s="528"/>
      <c r="AN19" s="528"/>
      <c r="AO19" s="528"/>
      <c r="AP19" s="528"/>
      <c r="AQ19" s="528"/>
      <c r="AR19" s="528"/>
      <c r="AS19" s="528"/>
      <c r="AT19" s="528"/>
      <c r="AU19" s="528"/>
      <c r="AV19" s="528"/>
      <c r="AW19" s="528"/>
      <c r="AX19" s="528"/>
      <c r="AY19" s="528"/>
      <c r="AZ19" s="528"/>
      <c r="BA19" s="528"/>
      <c r="BB19" s="528"/>
      <c r="BC19" s="528"/>
      <c r="BD19" s="528"/>
      <c r="BE19" s="528"/>
    </row>
    <row r="20" spans="1:57" s="536" customFormat="1" ht="12.95" customHeight="1" x14ac:dyDescent="0.2">
      <c r="A20" s="528"/>
      <c r="B20" s="529"/>
      <c r="C20" s="530"/>
      <c r="D20" s="530" t="s">
        <v>21</v>
      </c>
      <c r="E20" s="595"/>
      <c r="F20" s="531"/>
      <c r="G20" s="610" t="s">
        <v>314</v>
      </c>
      <c r="H20" s="615">
        <f>IF(AND(G20&gt;0,G20&lt;17),100,0)</f>
        <v>0</v>
      </c>
      <c r="I20" s="530"/>
      <c r="J20" s="532"/>
      <c r="K20" s="541"/>
      <c r="L20" s="533" t="s">
        <v>376</v>
      </c>
      <c r="M20" s="549"/>
      <c r="N20" s="549"/>
      <c r="O20" s="549"/>
      <c r="P20" s="634" t="s">
        <v>47</v>
      </c>
      <c r="Q20" s="614" t="s">
        <v>48</v>
      </c>
      <c r="R20" s="530"/>
      <c r="S20" s="535"/>
      <c r="T20" s="528"/>
      <c r="U20" s="528"/>
      <c r="V20" s="548"/>
      <c r="W20" s="528"/>
      <c r="X20" s="528"/>
      <c r="Y20" s="528"/>
      <c r="Z20" s="528"/>
      <c r="AA20" s="528"/>
      <c r="AB20" s="528"/>
      <c r="AC20" s="528"/>
      <c r="AD20" s="528"/>
      <c r="AE20" s="528"/>
      <c r="AF20" s="528"/>
      <c r="AG20" s="528"/>
      <c r="AH20" s="528"/>
      <c r="AI20" s="528"/>
      <c r="AJ20" s="528"/>
      <c r="AK20" s="528"/>
      <c r="AL20" s="528"/>
      <c r="AM20" s="528"/>
      <c r="AN20" s="528"/>
      <c r="AO20" s="528"/>
      <c r="AP20" s="528"/>
      <c r="AQ20" s="528"/>
      <c r="AR20" s="528"/>
      <c r="AS20" s="528"/>
      <c r="AT20" s="528"/>
      <c r="AU20" s="528"/>
      <c r="AV20" s="528"/>
      <c r="AW20" s="528"/>
      <c r="AX20" s="528"/>
      <c r="AY20" s="528"/>
      <c r="AZ20" s="528"/>
      <c r="BA20" s="528"/>
      <c r="BB20" s="528"/>
      <c r="BC20" s="528"/>
      <c r="BD20" s="528"/>
      <c r="BE20" s="528"/>
    </row>
    <row r="21" spans="1:57" s="536" customFormat="1" ht="12.95" customHeight="1" x14ac:dyDescent="0.2">
      <c r="A21" s="528"/>
      <c r="B21" s="529"/>
      <c r="C21" s="530"/>
      <c r="D21" s="530" t="s">
        <v>22</v>
      </c>
      <c r="E21" s="595"/>
      <c r="F21" s="531"/>
      <c r="G21" s="610">
        <v>15</v>
      </c>
      <c r="H21" s="616"/>
      <c r="I21" s="530"/>
      <c r="J21" s="532"/>
      <c r="K21" s="541"/>
      <c r="L21" s="530" t="s">
        <v>37</v>
      </c>
      <c r="M21" s="530"/>
      <c r="N21" s="530"/>
      <c r="O21" s="556"/>
      <c r="P21" s="622">
        <f>IF($H$41/$G$23&lt;tabellen!E6,0,(+$H$41-tabellen!E6*G23)/12*tabellen!$D6)</f>
        <v>231.74548099999998</v>
      </c>
      <c r="Q21" s="622">
        <f>IF($H$41/$G$23&lt;tabellen!E6,0,(+$H$41-tabellen!E6*G23)*tabellen!$D6)</f>
        <v>2780.9457719999996</v>
      </c>
      <c r="R21" s="530"/>
      <c r="S21" s="535"/>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8"/>
      <c r="AY21" s="528"/>
      <c r="AZ21" s="528"/>
      <c r="BA21" s="528"/>
      <c r="BB21" s="528"/>
      <c r="BC21" s="528"/>
      <c r="BD21" s="528"/>
      <c r="BE21" s="528"/>
    </row>
    <row r="22" spans="1:57" s="536" customFormat="1" ht="12.95" customHeight="1" x14ac:dyDescent="0.2">
      <c r="A22" s="528"/>
      <c r="B22" s="529"/>
      <c r="C22" s="530"/>
      <c r="D22" s="530" t="s">
        <v>24</v>
      </c>
      <c r="E22" s="595"/>
      <c r="F22" s="531"/>
      <c r="G22" s="617">
        <f>VLOOKUP(G20,saltab2019,G21+1,FALSE)</f>
        <v>3910</v>
      </c>
      <c r="H22" s="618"/>
      <c r="I22" s="530"/>
      <c r="J22" s="532"/>
      <c r="K22" s="552"/>
      <c r="L22" s="530" t="s">
        <v>162</v>
      </c>
      <c r="M22" s="530"/>
      <c r="N22" s="530"/>
      <c r="O22" s="556"/>
      <c r="P22" s="622">
        <f>IF($H$41/$G$23&lt;tabellen!E7,0,(+$H$41-tabellen!E7*$G$23)/12*tabellen!$D7)</f>
        <v>4.1724449999999997</v>
      </c>
      <c r="Q22" s="622">
        <f>IF($H$41/$G$23&lt;tabellen!E7,0,(+$H$41-tabellen!E7*$G$23)*tabellen!$D7)</f>
        <v>50.069339999999997</v>
      </c>
      <c r="R22" s="533"/>
      <c r="S22" s="535"/>
      <c r="T22" s="528"/>
      <c r="U22" s="528"/>
      <c r="V22" s="548"/>
      <c r="W22" s="528"/>
      <c r="X22" s="528"/>
      <c r="Y22" s="528"/>
      <c r="Z22" s="528"/>
      <c r="AA22" s="528"/>
      <c r="AB22" s="528"/>
      <c r="AC22" s="528"/>
      <c r="AD22" s="528"/>
      <c r="AE22" s="528"/>
      <c r="AF22" s="528"/>
      <c r="AG22" s="528"/>
      <c r="AH22" s="528"/>
      <c r="AI22" s="528"/>
      <c r="AJ22" s="528"/>
      <c r="AK22" s="528"/>
      <c r="AL22" s="528"/>
      <c r="AM22" s="528"/>
      <c r="AN22" s="528"/>
      <c r="AO22" s="528"/>
      <c r="AP22" s="528"/>
      <c r="AQ22" s="528"/>
      <c r="AR22" s="528"/>
      <c r="AS22" s="528"/>
      <c r="AT22" s="528"/>
      <c r="AU22" s="528"/>
      <c r="AV22" s="528"/>
      <c r="AW22" s="528"/>
      <c r="AX22" s="528"/>
      <c r="AY22" s="528"/>
      <c r="AZ22" s="528"/>
      <c r="BA22" s="528"/>
      <c r="BB22" s="528"/>
      <c r="BC22" s="528"/>
      <c r="BD22" s="528"/>
      <c r="BE22" s="528"/>
    </row>
    <row r="23" spans="1:57" s="536" customFormat="1" ht="12.95" customHeight="1" x14ac:dyDescent="0.2">
      <c r="A23" s="528"/>
      <c r="B23" s="529"/>
      <c r="C23" s="530"/>
      <c r="D23" s="530" t="s">
        <v>25</v>
      </c>
      <c r="E23" s="595"/>
      <c r="F23" s="531"/>
      <c r="G23" s="619">
        <v>1</v>
      </c>
      <c r="H23" s="595"/>
      <c r="I23" s="530"/>
      <c r="J23" s="532"/>
      <c r="K23" s="552"/>
      <c r="L23" s="530" t="s">
        <v>260</v>
      </c>
      <c r="M23" s="530"/>
      <c r="N23" s="530"/>
      <c r="O23" s="556"/>
      <c r="P23" s="622">
        <f>$H$41/12*tabellen!$D8</f>
        <v>0</v>
      </c>
      <c r="Q23" s="622">
        <f>$H$41*tabellen!$D8</f>
        <v>0</v>
      </c>
      <c r="R23" s="533"/>
      <c r="S23" s="535"/>
      <c r="T23" s="528"/>
      <c r="U23" s="528"/>
      <c r="V23" s="528"/>
      <c r="W23" s="528"/>
      <c r="X23" s="528"/>
      <c r="Y23" s="528"/>
      <c r="Z23" s="528"/>
      <c r="AA23" s="528"/>
      <c r="AB23" s="528"/>
      <c r="AC23" s="528"/>
      <c r="AD23" s="528"/>
      <c r="AE23" s="528"/>
      <c r="AF23" s="528"/>
      <c r="AG23" s="528"/>
      <c r="AH23" s="528"/>
      <c r="AI23" s="528"/>
      <c r="AJ23" s="528"/>
      <c r="AK23" s="528"/>
      <c r="AL23" s="528"/>
      <c r="AM23" s="528"/>
      <c r="AN23" s="528"/>
      <c r="AO23" s="528"/>
      <c r="AP23" s="528"/>
      <c r="AQ23" s="528"/>
      <c r="AR23" s="528"/>
      <c r="AS23" s="528"/>
      <c r="AT23" s="528"/>
      <c r="AU23" s="528"/>
      <c r="AV23" s="528"/>
      <c r="AW23" s="528"/>
      <c r="AX23" s="528"/>
      <c r="AY23" s="528"/>
      <c r="AZ23" s="528"/>
      <c r="BA23" s="528"/>
      <c r="BB23" s="528"/>
      <c r="BC23" s="528"/>
      <c r="BD23" s="528"/>
      <c r="BE23" s="528"/>
    </row>
    <row r="24" spans="1:57" s="536" customFormat="1" ht="12.95" customHeight="1" x14ac:dyDescent="0.2">
      <c r="A24" s="528"/>
      <c r="B24" s="529"/>
      <c r="C24" s="530"/>
      <c r="D24" s="533" t="s">
        <v>393</v>
      </c>
      <c r="E24" s="595"/>
      <c r="F24" s="531"/>
      <c r="G24" s="620">
        <f>+G22*G23</f>
        <v>3910</v>
      </c>
      <c r="H24" s="620">
        <f>G24*12</f>
        <v>46920</v>
      </c>
      <c r="I24" s="530"/>
      <c r="J24" s="532"/>
      <c r="K24" s="552"/>
      <c r="L24" s="533"/>
      <c r="M24" s="533"/>
      <c r="N24" s="533"/>
      <c r="O24" s="652"/>
      <c r="P24" s="620">
        <f>SUM(P21:P23)</f>
        <v>235.91792599999999</v>
      </c>
      <c r="Q24" s="620">
        <f>SUM(Q21:Q23)</f>
        <v>2831.0151119999996</v>
      </c>
      <c r="R24" s="533"/>
      <c r="S24" s="535"/>
      <c r="T24" s="528"/>
      <c r="U24" s="528"/>
      <c r="V24" s="528"/>
      <c r="W24" s="528"/>
      <c r="X24" s="528"/>
      <c r="Y24" s="528"/>
      <c r="Z24" s="528"/>
      <c r="AA24" s="528"/>
      <c r="AB24" s="528"/>
      <c r="AC24" s="528"/>
      <c r="AD24" s="528"/>
      <c r="AE24" s="528"/>
      <c r="AF24" s="528"/>
      <c r="AG24" s="528"/>
      <c r="AH24" s="528"/>
      <c r="AI24" s="528"/>
      <c r="AJ24" s="528"/>
      <c r="AK24" s="528"/>
      <c r="AL24" s="528"/>
      <c r="AM24" s="528"/>
      <c r="AN24" s="528"/>
      <c r="AO24" s="528"/>
      <c r="AP24" s="528"/>
      <c r="AQ24" s="528"/>
      <c r="AR24" s="528"/>
      <c r="AS24" s="528"/>
      <c r="AT24" s="528"/>
      <c r="AU24" s="528"/>
      <c r="AV24" s="528"/>
      <c r="AW24" s="528"/>
      <c r="AX24" s="528"/>
      <c r="AY24" s="528"/>
      <c r="AZ24" s="528"/>
      <c r="BA24" s="528"/>
      <c r="BB24" s="528"/>
      <c r="BC24" s="528"/>
      <c r="BD24" s="528"/>
      <c r="BE24" s="528"/>
    </row>
    <row r="25" spans="1:57" s="536" customFormat="1" ht="12.95" customHeight="1" x14ac:dyDescent="0.2">
      <c r="A25" s="528"/>
      <c r="B25" s="529"/>
      <c r="C25" s="530"/>
      <c r="D25" s="550"/>
      <c r="E25" s="596"/>
      <c r="F25" s="551"/>
      <c r="G25" s="596"/>
      <c r="H25" s="596"/>
      <c r="I25" s="530"/>
      <c r="J25" s="532"/>
      <c r="K25" s="552"/>
      <c r="L25" s="533" t="s">
        <v>296</v>
      </c>
      <c r="M25" s="533"/>
      <c r="N25" s="533"/>
      <c r="O25" s="533"/>
      <c r="P25" s="533"/>
      <c r="Q25" s="533"/>
      <c r="R25" s="533"/>
      <c r="S25" s="535"/>
      <c r="T25" s="528"/>
      <c r="U25" s="528"/>
      <c r="V25" s="528"/>
      <c r="W25" s="528"/>
      <c r="X25" s="528"/>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8"/>
      <c r="AY25" s="528"/>
      <c r="AZ25" s="528"/>
      <c r="BA25" s="528"/>
      <c r="BB25" s="528"/>
      <c r="BC25" s="528"/>
      <c r="BD25" s="528"/>
      <c r="BE25" s="528"/>
    </row>
    <row r="26" spans="1:57" s="536" customFormat="1" ht="12.95" customHeight="1" x14ac:dyDescent="0.2">
      <c r="A26" s="528"/>
      <c r="B26" s="529"/>
      <c r="C26" s="530"/>
      <c r="D26" s="553"/>
      <c r="E26" s="597"/>
      <c r="F26" s="555"/>
      <c r="G26" s="597"/>
      <c r="H26" s="597"/>
      <c r="I26" s="530"/>
      <c r="J26" s="532"/>
      <c r="K26" s="552"/>
      <c r="L26" s="530" t="s">
        <v>362</v>
      </c>
      <c r="M26" s="552"/>
      <c r="N26" s="552"/>
      <c r="O26" s="557"/>
      <c r="P26" s="622">
        <f>G40</f>
        <v>4517.0766666666668</v>
      </c>
      <c r="Q26" s="622">
        <f>H40</f>
        <v>54204.92</v>
      </c>
      <c r="R26" s="533"/>
      <c r="S26" s="535"/>
      <c r="T26" s="528"/>
      <c r="U26" s="528"/>
      <c r="V26" s="528"/>
      <c r="W26" s="528"/>
      <c r="X26" s="528"/>
      <c r="Y26" s="528"/>
      <c r="Z26" s="528"/>
      <c r="AA26" s="528"/>
      <c r="AB26" s="528"/>
      <c r="AC26" s="528"/>
      <c r="AD26" s="528"/>
      <c r="AE26" s="528"/>
      <c r="AF26" s="528"/>
      <c r="AG26" s="528"/>
      <c r="AH26" s="528"/>
      <c r="AI26" s="528"/>
      <c r="AJ26" s="528"/>
      <c r="AK26" s="528"/>
      <c r="AL26" s="528"/>
      <c r="AM26" s="528"/>
      <c r="AN26" s="528"/>
      <c r="AO26" s="528"/>
      <c r="AP26" s="528"/>
      <c r="AQ26" s="528"/>
      <c r="AR26" s="528"/>
      <c r="AS26" s="528"/>
      <c r="AT26" s="528"/>
      <c r="AU26" s="528"/>
      <c r="AV26" s="528"/>
      <c r="AW26" s="528"/>
      <c r="AX26" s="528"/>
      <c r="AY26" s="528"/>
      <c r="AZ26" s="528"/>
      <c r="BA26" s="528"/>
      <c r="BB26" s="528"/>
      <c r="BC26" s="528"/>
      <c r="BD26" s="528"/>
      <c r="BE26" s="528"/>
    </row>
    <row r="27" spans="1:57" s="536" customFormat="1" ht="12.95" customHeight="1" x14ac:dyDescent="0.2">
      <c r="A27" s="528"/>
      <c r="B27" s="529"/>
      <c r="C27" s="530"/>
      <c r="D27" s="533" t="s">
        <v>374</v>
      </c>
      <c r="E27" s="598"/>
      <c r="F27" s="530"/>
      <c r="G27" s="621"/>
      <c r="H27" s="598"/>
      <c r="I27" s="530"/>
      <c r="J27" s="532"/>
      <c r="K27" s="552"/>
      <c r="L27" s="530" t="s">
        <v>377</v>
      </c>
      <c r="M27" s="552"/>
      <c r="N27" s="552"/>
      <c r="O27" s="557"/>
      <c r="P27" s="622">
        <f>P24</f>
        <v>235.91792599999999</v>
      </c>
      <c r="Q27" s="622">
        <f>Q24</f>
        <v>2831.0151119999996</v>
      </c>
      <c r="R27" s="533"/>
      <c r="S27" s="535"/>
      <c r="T27" s="528"/>
      <c r="U27" s="528"/>
      <c r="V27" s="528"/>
      <c r="W27" s="528"/>
      <c r="X27" s="528"/>
      <c r="Y27" s="528"/>
      <c r="Z27" s="528"/>
      <c r="AA27" s="528"/>
      <c r="AB27" s="528"/>
      <c r="AC27" s="528"/>
      <c r="AD27" s="528"/>
      <c r="AE27" s="528"/>
      <c r="AF27" s="528"/>
      <c r="AG27" s="528"/>
      <c r="AH27" s="528"/>
      <c r="AI27" s="528"/>
      <c r="AJ27" s="528"/>
      <c r="AK27" s="528"/>
      <c r="AL27" s="528"/>
      <c r="AM27" s="528"/>
      <c r="AN27" s="528"/>
      <c r="AO27" s="528"/>
      <c r="AP27" s="528"/>
      <c r="AQ27" s="528"/>
      <c r="AR27" s="528"/>
      <c r="AS27" s="528"/>
      <c r="AT27" s="528"/>
      <c r="AU27" s="528"/>
      <c r="AV27" s="528"/>
      <c r="AW27" s="528"/>
      <c r="AX27" s="528"/>
      <c r="AY27" s="528"/>
      <c r="AZ27" s="528"/>
      <c r="BA27" s="528"/>
      <c r="BB27" s="528"/>
      <c r="BC27" s="528"/>
      <c r="BD27" s="528"/>
      <c r="BE27" s="528"/>
    </row>
    <row r="28" spans="1:57" s="536" customFormat="1" ht="12.95" customHeight="1" x14ac:dyDescent="0.2">
      <c r="A28" s="528"/>
      <c r="B28" s="529"/>
      <c r="C28" s="530"/>
      <c r="D28" s="530"/>
      <c r="E28" s="598"/>
      <c r="F28" s="530"/>
      <c r="G28" s="613" t="s">
        <v>47</v>
      </c>
      <c r="H28" s="614" t="s">
        <v>48</v>
      </c>
      <c r="I28" s="530"/>
      <c r="J28" s="532"/>
      <c r="K28" s="552"/>
      <c r="L28" s="552"/>
      <c r="M28" s="552"/>
      <c r="N28" s="552"/>
      <c r="O28" s="557"/>
      <c r="P28" s="620">
        <f>P26-P27</f>
        <v>4281.1587406666667</v>
      </c>
      <c r="Q28" s="620">
        <f>H40-Q24</f>
        <v>51373.904887999997</v>
      </c>
      <c r="R28" s="533"/>
      <c r="S28" s="535"/>
      <c r="T28" s="528"/>
      <c r="U28" s="528"/>
      <c r="V28" s="528"/>
      <c r="W28" s="528"/>
      <c r="X28" s="528"/>
      <c r="Y28" s="528"/>
      <c r="Z28" s="528"/>
      <c r="AA28" s="528"/>
      <c r="AB28" s="528"/>
      <c r="AC28" s="528"/>
      <c r="AD28" s="528"/>
      <c r="AE28" s="528"/>
      <c r="AF28" s="528"/>
      <c r="AG28" s="528"/>
      <c r="AH28" s="528"/>
      <c r="AI28" s="528"/>
      <c r="AJ28" s="528"/>
      <c r="AK28" s="528"/>
      <c r="AL28" s="528"/>
      <c r="AM28" s="528"/>
      <c r="AN28" s="528"/>
      <c r="AO28" s="528"/>
      <c r="AP28" s="528"/>
      <c r="AQ28" s="528"/>
      <c r="AR28" s="528"/>
      <c r="AS28" s="528"/>
      <c r="AT28" s="528"/>
      <c r="AU28" s="528"/>
      <c r="AV28" s="528"/>
      <c r="AW28" s="528"/>
      <c r="AX28" s="528"/>
      <c r="AY28" s="528"/>
      <c r="AZ28" s="528"/>
      <c r="BA28" s="528"/>
      <c r="BB28" s="528"/>
      <c r="BC28" s="528"/>
      <c r="BD28" s="528"/>
      <c r="BE28" s="528"/>
    </row>
    <row r="29" spans="1:57" s="536" customFormat="1" ht="12.95" customHeight="1" x14ac:dyDescent="0.2">
      <c r="A29" s="528"/>
      <c r="B29" s="529"/>
      <c r="C29" s="530"/>
      <c r="D29" s="530" t="s">
        <v>36</v>
      </c>
      <c r="E29" s="598"/>
      <c r="F29" s="558"/>
      <c r="G29" s="622">
        <f>ROUND(IF((G$24+G31)*tabellen!D41&lt;G23*tabellen!D43,G23*tabellen!D43,(G$24+G31)*tabellen!D41),2)</f>
        <v>312.8</v>
      </c>
      <c r="H29" s="622">
        <f t="shared" ref="H29" si="0">+G29*12</f>
        <v>3753.6000000000004</v>
      </c>
      <c r="I29" s="530"/>
      <c r="J29" s="532"/>
      <c r="K29" s="552"/>
      <c r="L29" s="533" t="s">
        <v>72</v>
      </c>
      <c r="M29" s="552"/>
      <c r="N29" s="552"/>
      <c r="O29" s="557"/>
      <c r="P29" s="636"/>
      <c r="Q29" s="636"/>
      <c r="R29" s="533"/>
      <c r="S29" s="535"/>
      <c r="T29" s="528"/>
      <c r="U29" s="528"/>
      <c r="V29" s="528"/>
      <c r="W29" s="528"/>
      <c r="X29" s="528"/>
      <c r="Y29" s="528"/>
      <c r="Z29" s="528"/>
      <c r="AA29" s="528"/>
      <c r="AB29" s="528"/>
      <c r="AC29" s="528"/>
      <c r="AD29" s="528"/>
      <c r="AE29" s="528"/>
      <c r="AF29" s="528"/>
      <c r="AG29" s="528"/>
      <c r="AH29" s="528"/>
      <c r="AI29" s="528"/>
      <c r="AJ29" s="528"/>
      <c r="AK29" s="528"/>
      <c r="AL29" s="528"/>
      <c r="AM29" s="528"/>
      <c r="AN29" s="528"/>
      <c r="AO29" s="528"/>
      <c r="AP29" s="528"/>
      <c r="AQ29" s="528"/>
      <c r="AR29" s="528"/>
      <c r="AS29" s="528"/>
      <c r="AT29" s="528"/>
      <c r="AU29" s="528"/>
      <c r="AV29" s="528"/>
      <c r="AW29" s="528"/>
      <c r="AX29" s="528"/>
      <c r="AY29" s="528"/>
      <c r="AZ29" s="528"/>
      <c r="BA29" s="528"/>
      <c r="BB29" s="528"/>
      <c r="BC29" s="528"/>
      <c r="BD29" s="528"/>
      <c r="BE29" s="528"/>
    </row>
    <row r="30" spans="1:57" s="536" customFormat="1" ht="12.95" customHeight="1" x14ac:dyDescent="0.2">
      <c r="A30" s="528"/>
      <c r="B30" s="529"/>
      <c r="C30" s="530"/>
      <c r="D30" s="530" t="s">
        <v>58</v>
      </c>
      <c r="E30" s="598"/>
      <c r="F30" s="559"/>
      <c r="G30" s="622">
        <f>ROUND((G$24+G31)*tabellen!D44,2)</f>
        <v>246.33</v>
      </c>
      <c r="H30" s="622">
        <f>+G30*12</f>
        <v>2955.96</v>
      </c>
      <c r="I30" s="530"/>
      <c r="J30" s="532"/>
      <c r="K30" s="552"/>
      <c r="L30" s="530" t="s">
        <v>378</v>
      </c>
      <c r="M30" s="552"/>
      <c r="N30" s="552"/>
      <c r="O30" s="557"/>
      <c r="P30" s="622">
        <f>P28</f>
        <v>4281.1587406666667</v>
      </c>
      <c r="Q30" s="622">
        <f>Q28</f>
        <v>51373.904887999997</v>
      </c>
      <c r="R30" s="533"/>
      <c r="S30" s="535"/>
      <c r="T30" s="528"/>
      <c r="U30" s="528"/>
      <c r="V30" s="528"/>
      <c r="W30" s="528"/>
      <c r="X30" s="528"/>
      <c r="Y30" s="528"/>
      <c r="Z30" s="528"/>
      <c r="AA30" s="528"/>
      <c r="AB30" s="528"/>
      <c r="AC30" s="528"/>
      <c r="AD30" s="528"/>
      <c r="AE30" s="528"/>
      <c r="AF30" s="528"/>
      <c r="AG30" s="528"/>
      <c r="AH30" s="528"/>
      <c r="AI30" s="528"/>
      <c r="AJ30" s="528"/>
      <c r="AK30" s="528"/>
      <c r="AL30" s="528"/>
      <c r="AM30" s="528"/>
      <c r="AN30" s="528"/>
      <c r="AO30" s="528"/>
      <c r="AP30" s="528"/>
      <c r="AQ30" s="528"/>
      <c r="AR30" s="528"/>
      <c r="AS30" s="528"/>
      <c r="AT30" s="528"/>
      <c r="AU30" s="528"/>
      <c r="AV30" s="528"/>
      <c r="AW30" s="528"/>
      <c r="AX30" s="528"/>
      <c r="AY30" s="528"/>
      <c r="AZ30" s="528"/>
      <c r="BA30" s="528"/>
      <c r="BB30" s="528"/>
      <c r="BC30" s="528"/>
      <c r="BD30" s="528"/>
      <c r="BE30" s="528"/>
    </row>
    <row r="31" spans="1:57" s="536" customFormat="1" ht="12.95" customHeight="1" x14ac:dyDescent="0.2">
      <c r="A31" s="528"/>
      <c r="B31" s="529"/>
      <c r="C31" s="530"/>
      <c r="D31" s="530" t="s">
        <v>336</v>
      </c>
      <c r="E31" s="599" t="s">
        <v>94</v>
      </c>
      <c r="F31" s="559"/>
      <c r="G31" s="622">
        <f>IF(E31="nee",0,(VLOOKUP(G20,uitlooptoeslag,2,FALSE)))</f>
        <v>0</v>
      </c>
      <c r="H31" s="622">
        <f>G31*12</f>
        <v>0</v>
      </c>
      <c r="I31" s="530"/>
      <c r="J31" s="532"/>
      <c r="K31" s="552"/>
      <c r="L31" s="530" t="s">
        <v>297</v>
      </c>
      <c r="M31" s="533"/>
      <c r="N31" s="533"/>
      <c r="O31" s="533"/>
      <c r="P31" s="622">
        <f>G51</f>
        <v>295.39999999999998</v>
      </c>
      <c r="Q31" s="622">
        <f>H51</f>
        <v>3544.7999999999997</v>
      </c>
      <c r="R31" s="533"/>
      <c r="S31" s="535"/>
      <c r="T31" s="528"/>
      <c r="U31" s="528"/>
      <c r="V31" s="528"/>
      <c r="W31" s="528"/>
      <c r="X31" s="528"/>
      <c r="Y31" s="528"/>
      <c r="Z31" s="528"/>
      <c r="AA31" s="528"/>
      <c r="AB31" s="528"/>
      <c r="AC31" s="528"/>
      <c r="AD31" s="528"/>
      <c r="AE31" s="528"/>
      <c r="AF31" s="528"/>
      <c r="AG31" s="528"/>
      <c r="AH31" s="528"/>
      <c r="AI31" s="528"/>
      <c r="AJ31" s="528"/>
      <c r="AK31" s="528"/>
      <c r="AL31" s="528"/>
      <c r="AM31" s="528"/>
      <c r="AN31" s="528"/>
      <c r="AO31" s="528"/>
      <c r="AP31" s="528"/>
      <c r="AQ31" s="528"/>
      <c r="AR31" s="528"/>
      <c r="AS31" s="528"/>
      <c r="AT31" s="528"/>
      <c r="AU31" s="528"/>
      <c r="AV31" s="528"/>
      <c r="AW31" s="528"/>
      <c r="AX31" s="528"/>
      <c r="AY31" s="528"/>
      <c r="AZ31" s="528"/>
      <c r="BA31" s="528"/>
      <c r="BB31" s="528"/>
      <c r="BC31" s="528"/>
      <c r="BD31" s="528"/>
      <c r="BE31" s="528"/>
    </row>
    <row r="32" spans="1:57" s="536" customFormat="1" ht="12.95" customHeight="1" x14ac:dyDescent="0.2">
      <c r="A32" s="528"/>
      <c r="B32" s="529"/>
      <c r="C32" s="530"/>
      <c r="D32" s="530" t="s">
        <v>167</v>
      </c>
      <c r="E32" s="587" t="str">
        <f>IF(OR(G20="DA",G20="DB",G20="DBuit",G20="DC",G20="DCuit",MID(G20,1,5)="meerh"),"j","n")</f>
        <v>n</v>
      </c>
      <c r="F32" s="559"/>
      <c r="G32" s="622">
        <f>ROUND(IF(E32="j",tabellen!D52*IF(G23&gt;1,1,G23),0),2)</f>
        <v>0</v>
      </c>
      <c r="H32" s="622">
        <f>+G32*12</f>
        <v>0</v>
      </c>
      <c r="I32" s="530"/>
      <c r="J32" s="532"/>
      <c r="K32" s="552"/>
      <c r="L32" s="528"/>
      <c r="M32" s="533"/>
      <c r="N32" s="533"/>
      <c r="O32" s="533"/>
      <c r="P32" s="620">
        <f>SUM(P30:P31)</f>
        <v>4576.5587406666664</v>
      </c>
      <c r="Q32" s="620">
        <f>SUM(Q30:Q31)</f>
        <v>54918.704888</v>
      </c>
      <c r="R32" s="533"/>
      <c r="S32" s="535"/>
      <c r="T32" s="528"/>
      <c r="U32" s="528"/>
      <c r="V32" s="528"/>
      <c r="W32" s="528"/>
      <c r="X32" s="528"/>
      <c r="Y32" s="528"/>
      <c r="Z32" s="528"/>
      <c r="AA32" s="528"/>
      <c r="AB32" s="528"/>
      <c r="AC32" s="528"/>
      <c r="AD32" s="528"/>
      <c r="AE32" s="528"/>
      <c r="AF32" s="528"/>
      <c r="AG32" s="528"/>
      <c r="AH32" s="528"/>
      <c r="AI32" s="528"/>
      <c r="AJ32" s="528"/>
      <c r="AK32" s="528"/>
      <c r="AL32" s="528"/>
      <c r="AM32" s="528"/>
      <c r="AN32" s="528"/>
      <c r="AO32" s="528"/>
      <c r="AP32" s="528"/>
      <c r="AQ32" s="528"/>
      <c r="AR32" s="528"/>
      <c r="AS32" s="528"/>
      <c r="AT32" s="528"/>
      <c r="AU32" s="528"/>
      <c r="AV32" s="528"/>
      <c r="AW32" s="528"/>
      <c r="AX32" s="528"/>
      <c r="AY32" s="528"/>
      <c r="AZ32" s="528"/>
      <c r="BA32" s="528"/>
      <c r="BB32" s="528"/>
      <c r="BC32" s="528"/>
      <c r="BD32" s="528"/>
      <c r="BE32" s="528"/>
    </row>
    <row r="33" spans="1:57" s="536" customFormat="1" ht="12.95" customHeight="1" x14ac:dyDescent="0.2">
      <c r="A33" s="528"/>
      <c r="B33" s="529"/>
      <c r="C33" s="530"/>
      <c r="D33" s="530" t="s">
        <v>359</v>
      </c>
      <c r="E33" s="588">
        <f>IF(AND(G20&gt;0,G20&lt;17),100,0)</f>
        <v>0</v>
      </c>
      <c r="F33" s="559"/>
      <c r="G33" s="622">
        <f>IF(E33=100,+tabellen!C37*G23,0)</f>
        <v>0</v>
      </c>
      <c r="H33" s="622">
        <f>+G33*12</f>
        <v>0</v>
      </c>
      <c r="I33" s="530"/>
      <c r="J33" s="532"/>
      <c r="K33" s="530"/>
      <c r="L33" s="528"/>
      <c r="M33" s="528"/>
      <c r="N33" s="528"/>
      <c r="O33" s="528"/>
      <c r="P33" s="528"/>
      <c r="Q33" s="528"/>
      <c r="R33" s="541"/>
      <c r="S33" s="535"/>
      <c r="T33" s="528"/>
      <c r="U33" s="528"/>
      <c r="V33" s="528"/>
      <c r="W33" s="528"/>
      <c r="X33" s="528"/>
      <c r="Y33" s="528"/>
      <c r="Z33" s="528"/>
      <c r="AA33" s="528"/>
      <c r="AB33" s="528"/>
      <c r="AC33" s="528"/>
      <c r="AD33" s="528"/>
      <c r="AE33" s="528"/>
      <c r="AF33" s="528"/>
      <c r="AG33" s="528"/>
      <c r="AH33" s="528"/>
      <c r="AI33" s="528"/>
      <c r="AJ33" s="528"/>
      <c r="AK33" s="528"/>
      <c r="AL33" s="528"/>
      <c r="AM33" s="528"/>
      <c r="AN33" s="528"/>
      <c r="AO33" s="528"/>
      <c r="AP33" s="528"/>
      <c r="AQ33" s="528"/>
      <c r="AR33" s="528"/>
      <c r="AS33" s="528"/>
      <c r="AT33" s="528"/>
      <c r="AU33" s="528"/>
      <c r="AV33" s="528"/>
      <c r="AW33" s="528"/>
      <c r="AX33" s="528"/>
      <c r="AY33" s="528"/>
      <c r="AZ33" s="528"/>
      <c r="BA33" s="528"/>
      <c r="BB33" s="528"/>
      <c r="BC33" s="528"/>
      <c r="BD33" s="528"/>
      <c r="BE33" s="528"/>
    </row>
    <row r="34" spans="1:57" s="536" customFormat="1" ht="12.95" customHeight="1" x14ac:dyDescent="0.2">
      <c r="A34" s="528"/>
      <c r="B34" s="529"/>
      <c r="C34" s="530"/>
      <c r="D34" s="530" t="s">
        <v>85</v>
      </c>
      <c r="E34" s="589">
        <f>IF(H20=100,G20,0)</f>
        <v>0</v>
      </c>
      <c r="F34" s="559"/>
      <c r="G34" s="622">
        <f>VLOOKUP(E34,eindejaarsuitkering_OOP,2,TRUE)*G23/12</f>
        <v>0</v>
      </c>
      <c r="H34" s="622">
        <f>+G34*12</f>
        <v>0</v>
      </c>
      <c r="I34" s="530"/>
      <c r="J34" s="532"/>
      <c r="K34" s="533"/>
      <c r="L34" s="644" t="s">
        <v>369</v>
      </c>
      <c r="M34" s="560">
        <f>IF(Q28&gt;tabellen!B60,tabellen!B60,Q32)</f>
        <v>20142</v>
      </c>
      <c r="N34" s="561">
        <f>+tabellen!C60</f>
        <v>0.36549999999999999</v>
      </c>
      <c r="O34" s="562"/>
      <c r="P34" s="635">
        <f>+M34*N34/12</f>
        <v>613.49175000000002</v>
      </c>
      <c r="Q34" s="635">
        <f>+M34*N34</f>
        <v>7361.9009999999998</v>
      </c>
      <c r="R34" s="541"/>
      <c r="S34" s="535"/>
      <c r="T34" s="528"/>
      <c r="U34" s="528"/>
      <c r="V34" s="528"/>
      <c r="W34" s="528"/>
      <c r="X34" s="528"/>
      <c r="Y34" s="528"/>
      <c r="Z34" s="528"/>
      <c r="AA34" s="528"/>
      <c r="AB34" s="528"/>
      <c r="AC34" s="528"/>
      <c r="AD34" s="528"/>
      <c r="AE34" s="528"/>
      <c r="AF34" s="528"/>
      <c r="AG34" s="528"/>
      <c r="AH34" s="528"/>
      <c r="AI34" s="528"/>
      <c r="AJ34" s="528"/>
      <c r="AK34" s="528"/>
      <c r="AL34" s="528"/>
      <c r="AM34" s="528"/>
      <c r="AN34" s="528"/>
      <c r="AO34" s="528"/>
      <c r="AP34" s="528"/>
      <c r="AQ34" s="528"/>
      <c r="AR34" s="528"/>
      <c r="AS34" s="528"/>
      <c r="AT34" s="528"/>
      <c r="AU34" s="528"/>
      <c r="AV34" s="528"/>
      <c r="AW34" s="528"/>
      <c r="AX34" s="528"/>
      <c r="AY34" s="528"/>
      <c r="AZ34" s="528"/>
      <c r="BA34" s="528"/>
      <c r="BB34" s="528"/>
      <c r="BC34" s="528"/>
      <c r="BD34" s="528"/>
      <c r="BE34" s="528"/>
    </row>
    <row r="35" spans="1:57" s="536" customFormat="1" ht="12.95" customHeight="1" x14ac:dyDescent="0.2">
      <c r="A35" s="528"/>
      <c r="B35" s="529"/>
      <c r="C35" s="530"/>
      <c r="D35" s="530" t="s">
        <v>360</v>
      </c>
      <c r="E35" s="600"/>
      <c r="F35" s="530"/>
      <c r="G35" s="622">
        <f>H35/12</f>
        <v>16.666666666666668</v>
      </c>
      <c r="H35" s="622">
        <f>ROUND(G23*tabellen!D50,2)</f>
        <v>200</v>
      </c>
      <c r="I35" s="533"/>
      <c r="J35" s="532"/>
      <c r="K35" s="533"/>
      <c r="L35" s="644" t="s">
        <v>372</v>
      </c>
      <c r="M35" s="560">
        <f>IF((IF(Q32&gt;tabellen!B61,tabellen!B61,Q32)-tabellen!B60)&lt;0,0,IF(Q32&gt;tabellen!B61,tabellen!B61,Q32)-tabellen!B60)</f>
        <v>13852</v>
      </c>
      <c r="N35" s="561">
        <f>+tabellen!C61</f>
        <v>0.40849999999999997</v>
      </c>
      <c r="O35" s="562"/>
      <c r="P35" s="635">
        <f>+M35*N35/12</f>
        <v>471.5451666666666</v>
      </c>
      <c r="Q35" s="635">
        <f>+M35*N35</f>
        <v>5658.5419999999995</v>
      </c>
      <c r="R35" s="552"/>
      <c r="S35" s="535"/>
      <c r="T35" s="528"/>
      <c r="U35" s="528"/>
      <c r="V35" s="548"/>
      <c r="W35" s="528"/>
      <c r="X35" s="528"/>
      <c r="Y35" s="528"/>
      <c r="Z35" s="528"/>
      <c r="AA35" s="528"/>
      <c r="AB35" s="528"/>
      <c r="AC35" s="528"/>
      <c r="AD35" s="528"/>
      <c r="AE35" s="528"/>
      <c r="AF35" s="528"/>
      <c r="AG35" s="528"/>
      <c r="AH35" s="528"/>
      <c r="AI35" s="528"/>
      <c r="AJ35" s="528"/>
      <c r="AK35" s="528"/>
      <c r="AL35" s="528"/>
      <c r="AM35" s="528"/>
      <c r="AN35" s="528"/>
      <c r="AO35" s="528"/>
      <c r="AP35" s="528"/>
      <c r="AQ35" s="528"/>
      <c r="AR35" s="528"/>
      <c r="AS35" s="528"/>
      <c r="AT35" s="528"/>
      <c r="AU35" s="528"/>
      <c r="AV35" s="528"/>
      <c r="AW35" s="528"/>
      <c r="AX35" s="528"/>
      <c r="AY35" s="528"/>
      <c r="AZ35" s="528"/>
      <c r="BA35" s="528"/>
      <c r="BB35" s="528"/>
      <c r="BC35" s="528"/>
      <c r="BD35" s="528"/>
      <c r="BE35" s="528"/>
    </row>
    <row r="36" spans="1:57" s="536" customFormat="1" ht="12.95" customHeight="1" x14ac:dyDescent="0.2">
      <c r="A36" s="528"/>
      <c r="B36" s="529"/>
      <c r="C36" s="530"/>
      <c r="D36" s="530" t="s">
        <v>153</v>
      </c>
      <c r="E36" s="598"/>
      <c r="F36" s="530"/>
      <c r="G36" s="622">
        <f>((G24+G31)*tabellen!C39)</f>
        <v>31.28</v>
      </c>
      <c r="H36" s="622">
        <f>G36*12</f>
        <v>375.36</v>
      </c>
      <c r="I36" s="533"/>
      <c r="J36" s="532"/>
      <c r="K36" s="530"/>
      <c r="L36" s="644" t="s">
        <v>371</v>
      </c>
      <c r="M36" s="560">
        <f>IF((IF(Q32&gt;tabellen!B62,tabellen!B62,Q32)-tabellen!B61)&lt;0,0,IF(Q32&gt;tabellen!B62,tabellen!B62,Q32)-tabellen!B61)</f>
        <v>20924.704888</v>
      </c>
      <c r="N36" s="561">
        <f>+tabellen!C62</f>
        <v>0.40849999999999997</v>
      </c>
      <c r="O36" s="563"/>
      <c r="P36" s="635">
        <f>+M36*N36/12</f>
        <v>712.31182889566662</v>
      </c>
      <c r="Q36" s="635">
        <f>+M36*N36</f>
        <v>8547.7419467479995</v>
      </c>
      <c r="R36" s="552"/>
      <c r="S36" s="535"/>
      <c r="T36" s="528"/>
      <c r="U36" s="528"/>
      <c r="V36" s="548"/>
      <c r="W36" s="528"/>
      <c r="X36" s="528"/>
      <c r="Y36" s="528"/>
      <c r="Z36" s="528"/>
      <c r="AA36" s="528"/>
      <c r="AB36" s="528"/>
      <c r="AC36" s="528"/>
      <c r="AD36" s="528"/>
      <c r="AE36" s="528"/>
      <c r="AF36" s="528"/>
      <c r="AG36" s="528"/>
      <c r="AH36" s="528"/>
      <c r="AI36" s="528"/>
      <c r="AJ36" s="528"/>
      <c r="AK36" s="528"/>
      <c r="AL36" s="528"/>
      <c r="AM36" s="528"/>
      <c r="AN36" s="528"/>
      <c r="AO36" s="528"/>
      <c r="AP36" s="528"/>
      <c r="AQ36" s="528"/>
      <c r="AR36" s="528"/>
      <c r="AS36" s="528"/>
      <c r="AT36" s="528"/>
      <c r="AU36" s="528"/>
      <c r="AV36" s="528"/>
      <c r="AW36" s="528"/>
      <c r="AX36" s="528"/>
      <c r="AY36" s="528"/>
      <c r="AZ36" s="528"/>
      <c r="BA36" s="528"/>
      <c r="BB36" s="528"/>
      <c r="BC36" s="528"/>
      <c r="BD36" s="528"/>
      <c r="BE36" s="528"/>
    </row>
    <row r="37" spans="1:57" s="536" customFormat="1" ht="12.95" customHeight="1" x14ac:dyDescent="0.2">
      <c r="A37" s="528"/>
      <c r="B37" s="529"/>
      <c r="C37" s="530"/>
      <c r="D37" s="530"/>
      <c r="E37" s="598"/>
      <c r="F37" s="530"/>
      <c r="G37" s="600"/>
      <c r="H37" s="600"/>
      <c r="I37" s="533"/>
      <c r="J37" s="532"/>
      <c r="K37" s="530"/>
      <c r="L37" s="644" t="s">
        <v>370</v>
      </c>
      <c r="M37" s="560">
        <f>IF((IF(Q28&gt;tabellen!B63,tabellen!B63,Q28)-tabellen!B62)&lt;0,0,IF(Q28&gt;tabellen!B63,tabellen!B63,Q28)-tabellen!B62)</f>
        <v>0</v>
      </c>
      <c r="N37" s="561">
        <f>+tabellen!C63</f>
        <v>0.51949999999999996</v>
      </c>
      <c r="O37" s="563"/>
      <c r="P37" s="635">
        <f>+M37*N37/12</f>
        <v>0</v>
      </c>
      <c r="Q37" s="635">
        <f>+M37*N37</f>
        <v>0</v>
      </c>
      <c r="R37" s="530"/>
      <c r="S37" s="535"/>
      <c r="T37" s="528"/>
      <c r="U37" s="528"/>
      <c r="V37" s="548"/>
      <c r="W37" s="528"/>
      <c r="X37" s="528"/>
      <c r="Y37" s="528"/>
      <c r="Z37" s="528"/>
      <c r="AA37" s="528"/>
      <c r="AB37" s="528"/>
      <c r="AC37" s="528"/>
      <c r="AD37" s="528"/>
      <c r="AE37" s="528"/>
      <c r="AF37" s="528"/>
      <c r="AG37" s="528"/>
      <c r="AH37" s="528"/>
      <c r="AI37" s="528"/>
      <c r="AJ37" s="528"/>
      <c r="AK37" s="528"/>
      <c r="AL37" s="528"/>
      <c r="AM37" s="528"/>
      <c r="AN37" s="528"/>
      <c r="AO37" s="528"/>
      <c r="AP37" s="528"/>
      <c r="AQ37" s="528"/>
      <c r="AR37" s="528"/>
      <c r="AS37" s="528"/>
      <c r="AT37" s="528"/>
      <c r="AU37" s="528"/>
      <c r="AV37" s="528"/>
      <c r="AW37" s="528"/>
      <c r="AX37" s="528"/>
      <c r="AY37" s="528"/>
      <c r="AZ37" s="528"/>
      <c r="BA37" s="528"/>
      <c r="BB37" s="528"/>
      <c r="BC37" s="528"/>
      <c r="BD37" s="528"/>
      <c r="BE37" s="528"/>
    </row>
    <row r="38" spans="1:57" s="536" customFormat="1" ht="12.95" customHeight="1" x14ac:dyDescent="0.2">
      <c r="A38" s="528"/>
      <c r="B38" s="529"/>
      <c r="C38" s="530"/>
      <c r="D38" s="552" t="s">
        <v>367</v>
      </c>
      <c r="E38" s="600"/>
      <c r="F38" s="552"/>
      <c r="G38" s="623">
        <f>SUM(G29:G36)</f>
        <v>607.0766666666666</v>
      </c>
      <c r="H38" s="623">
        <f>SUM(H29:H36)</f>
        <v>7284.92</v>
      </c>
      <c r="I38" s="533"/>
      <c r="J38" s="532"/>
      <c r="K38" s="530"/>
      <c r="L38" s="552"/>
      <c r="M38" s="564">
        <f>SUM(M34:M37)</f>
        <v>54918.704888</v>
      </c>
      <c r="N38" s="564"/>
      <c r="O38" s="552"/>
      <c r="P38" s="623">
        <f>SUM(P34:P37)</f>
        <v>1797.3487455623333</v>
      </c>
      <c r="Q38" s="623">
        <f>SUM(Q34:Q37)</f>
        <v>21568.184946747999</v>
      </c>
      <c r="R38" s="530"/>
      <c r="S38" s="535"/>
      <c r="T38" s="528"/>
      <c r="U38" s="528"/>
      <c r="V38" s="548"/>
      <c r="W38" s="528"/>
      <c r="X38" s="528"/>
      <c r="Y38" s="528"/>
      <c r="Z38" s="528"/>
      <c r="AA38" s="528"/>
      <c r="AB38" s="528"/>
      <c r="AC38" s="528"/>
      <c r="AD38" s="528"/>
      <c r="AE38" s="528"/>
      <c r="AF38" s="528"/>
      <c r="AG38" s="528"/>
      <c r="AH38" s="528"/>
      <c r="AI38" s="528"/>
      <c r="AJ38" s="528"/>
      <c r="AK38" s="528"/>
      <c r="AL38" s="528"/>
      <c r="AM38" s="528"/>
      <c r="AN38" s="528"/>
      <c r="AO38" s="528"/>
      <c r="AP38" s="528"/>
      <c r="AQ38" s="528"/>
      <c r="AR38" s="528"/>
      <c r="AS38" s="528"/>
      <c r="AT38" s="528"/>
      <c r="AU38" s="528"/>
      <c r="AV38" s="528"/>
      <c r="AW38" s="528"/>
      <c r="AX38" s="528"/>
      <c r="AY38" s="528"/>
      <c r="AZ38" s="528"/>
      <c r="BA38" s="528"/>
      <c r="BB38" s="528"/>
      <c r="BC38" s="528"/>
      <c r="BD38" s="528"/>
      <c r="BE38" s="528"/>
    </row>
    <row r="39" spans="1:57" s="536" customFormat="1" ht="12.95" customHeight="1" thickBot="1" x14ac:dyDescent="0.25">
      <c r="A39" s="528"/>
      <c r="B39" s="529"/>
      <c r="C39" s="530"/>
      <c r="D39" s="533"/>
      <c r="E39" s="598"/>
      <c r="F39" s="534"/>
      <c r="G39" s="598"/>
      <c r="H39" s="598"/>
      <c r="I39" s="533"/>
      <c r="J39" s="532"/>
      <c r="K39" s="530"/>
      <c r="L39" s="565"/>
      <c r="M39" s="565"/>
      <c r="N39" s="565"/>
      <c r="O39" s="565"/>
      <c r="P39" s="604"/>
      <c r="Q39" s="604"/>
      <c r="R39" s="530"/>
      <c r="S39" s="535"/>
      <c r="T39" s="528"/>
      <c r="U39" s="528"/>
      <c r="V39" s="548"/>
      <c r="W39" s="528"/>
      <c r="X39" s="528"/>
      <c r="Y39" s="528"/>
      <c r="Z39" s="528"/>
      <c r="AA39" s="528"/>
      <c r="AB39" s="528"/>
      <c r="AC39" s="528"/>
      <c r="AD39" s="528"/>
      <c r="AE39" s="528"/>
      <c r="AF39" s="528"/>
      <c r="AG39" s="528"/>
      <c r="AH39" s="528"/>
      <c r="AI39" s="528"/>
      <c r="AJ39" s="528"/>
      <c r="AK39" s="528"/>
      <c r="AL39" s="528"/>
      <c r="AM39" s="528"/>
      <c r="AN39" s="528"/>
      <c r="AO39" s="528"/>
      <c r="AP39" s="528"/>
      <c r="AQ39" s="528"/>
      <c r="AR39" s="528"/>
      <c r="AS39" s="528"/>
      <c r="AT39" s="528"/>
      <c r="AU39" s="528"/>
      <c r="AV39" s="528"/>
      <c r="AW39" s="528"/>
      <c r="AX39" s="528"/>
      <c r="AY39" s="528"/>
      <c r="AZ39" s="528"/>
      <c r="BA39" s="528"/>
      <c r="BB39" s="528"/>
      <c r="BC39" s="528"/>
      <c r="BD39" s="528"/>
      <c r="BE39" s="528"/>
    </row>
    <row r="40" spans="1:57" s="536" customFormat="1" ht="12.95" customHeight="1" thickTop="1" x14ac:dyDescent="0.2">
      <c r="A40" s="528"/>
      <c r="B40" s="529"/>
      <c r="C40" s="530"/>
      <c r="D40" s="533" t="s">
        <v>362</v>
      </c>
      <c r="E40" s="598"/>
      <c r="F40" s="534"/>
      <c r="G40" s="624">
        <f>G24+G38</f>
        <v>4517.0766666666668</v>
      </c>
      <c r="H40" s="624">
        <f>H24+H38</f>
        <v>54204.92</v>
      </c>
      <c r="I40" s="533"/>
      <c r="J40" s="532"/>
      <c r="K40" s="530"/>
      <c r="L40" s="554"/>
      <c r="M40" s="554"/>
      <c r="N40" s="554"/>
      <c r="O40" s="554"/>
      <c r="P40" s="597"/>
      <c r="Q40" s="597"/>
      <c r="R40" s="530"/>
      <c r="S40" s="535"/>
      <c r="T40" s="528"/>
      <c r="U40" s="528"/>
      <c r="V40" s="548"/>
      <c r="W40" s="528"/>
      <c r="X40" s="528"/>
      <c r="Y40" s="528"/>
      <c r="Z40" s="528"/>
      <c r="AA40" s="528"/>
      <c r="AB40" s="528"/>
      <c r="AC40" s="528"/>
      <c r="AD40" s="528"/>
      <c r="AE40" s="528"/>
      <c r="AF40" s="528"/>
      <c r="AG40" s="528"/>
      <c r="AH40" s="528"/>
      <c r="AI40" s="528"/>
      <c r="AJ40" s="528"/>
      <c r="AK40" s="528"/>
      <c r="AL40" s="528"/>
      <c r="AM40" s="528"/>
      <c r="AN40" s="528"/>
      <c r="AO40" s="528"/>
      <c r="AP40" s="528"/>
      <c r="AQ40" s="528"/>
      <c r="AR40" s="528"/>
      <c r="AS40" s="528"/>
      <c r="AT40" s="528"/>
      <c r="AU40" s="528"/>
      <c r="AV40" s="528"/>
      <c r="AW40" s="528"/>
      <c r="AX40" s="528"/>
      <c r="AY40" s="528"/>
      <c r="AZ40" s="528"/>
      <c r="BA40" s="528"/>
      <c r="BB40" s="528"/>
      <c r="BC40" s="528"/>
      <c r="BD40" s="528"/>
      <c r="BE40" s="528"/>
    </row>
    <row r="41" spans="1:57" s="536" customFormat="1" ht="12.95" customHeight="1" x14ac:dyDescent="0.2">
      <c r="A41" s="528"/>
      <c r="B41" s="529"/>
      <c r="C41" s="530"/>
      <c r="D41" s="541" t="s">
        <v>46</v>
      </c>
      <c r="E41" s="601"/>
      <c r="F41" s="541"/>
      <c r="G41" s="625">
        <f>G40-G36</f>
        <v>4485.7966666666671</v>
      </c>
      <c r="H41" s="625">
        <f>H40-H36</f>
        <v>53829.56</v>
      </c>
      <c r="I41" s="530"/>
      <c r="J41" s="532"/>
      <c r="K41" s="530"/>
      <c r="L41" s="537" t="s">
        <v>310</v>
      </c>
      <c r="M41" s="537"/>
      <c r="N41" s="537"/>
      <c r="O41" s="537"/>
      <c r="P41" s="648">
        <f>P32-P38</f>
        <v>2779.2099951043328</v>
      </c>
      <c r="Q41" s="648">
        <f>Q32-Q38</f>
        <v>33350.519941252001</v>
      </c>
      <c r="R41" s="530"/>
      <c r="S41" s="535"/>
      <c r="T41" s="528"/>
      <c r="U41" s="654"/>
      <c r="V41" s="654"/>
      <c r="W41" s="528"/>
      <c r="X41" s="528"/>
      <c r="Y41" s="528"/>
      <c r="Z41" s="528"/>
      <c r="AA41" s="528"/>
      <c r="AB41" s="528"/>
      <c r="AC41" s="528"/>
      <c r="AD41" s="528"/>
      <c r="AE41" s="528"/>
      <c r="AF41" s="528"/>
      <c r="AG41" s="528"/>
      <c r="AH41" s="528"/>
      <c r="AI41" s="528"/>
      <c r="AJ41" s="528"/>
      <c r="AK41" s="528"/>
      <c r="AL41" s="528"/>
      <c r="AM41" s="528"/>
      <c r="AN41" s="528"/>
      <c r="AO41" s="528"/>
      <c r="AP41" s="528"/>
      <c r="AQ41" s="528"/>
      <c r="AR41" s="528"/>
      <c r="AS41" s="528"/>
      <c r="AT41" s="528"/>
      <c r="AU41" s="528"/>
      <c r="AV41" s="528"/>
      <c r="AW41" s="528"/>
      <c r="AX41" s="528"/>
      <c r="AY41" s="528"/>
      <c r="AZ41" s="528"/>
      <c r="BA41" s="528"/>
      <c r="BB41" s="528"/>
      <c r="BC41" s="528"/>
      <c r="BD41" s="528"/>
      <c r="BE41" s="528"/>
    </row>
    <row r="42" spans="1:57" s="536" customFormat="1" ht="12.95" customHeight="1" x14ac:dyDescent="0.2">
      <c r="A42" s="528"/>
      <c r="B42" s="529"/>
      <c r="C42" s="530"/>
      <c r="D42" s="550"/>
      <c r="E42" s="596"/>
      <c r="F42" s="551"/>
      <c r="G42" s="596"/>
      <c r="H42" s="596"/>
      <c r="I42" s="530"/>
      <c r="J42" s="532"/>
      <c r="K42" s="530"/>
      <c r="L42" s="530"/>
      <c r="M42" s="530"/>
      <c r="N42" s="530"/>
      <c r="O42" s="530"/>
      <c r="P42" s="598"/>
      <c r="Q42" s="598"/>
      <c r="R42" s="530"/>
      <c r="S42" s="567"/>
      <c r="T42" s="528"/>
      <c r="U42" s="528"/>
      <c r="V42" s="528"/>
      <c r="W42" s="528"/>
      <c r="X42" s="528"/>
      <c r="Y42" s="528"/>
      <c r="Z42" s="528"/>
      <c r="AA42" s="528"/>
      <c r="AB42" s="528"/>
      <c r="AC42" s="528"/>
      <c r="AD42" s="528"/>
      <c r="AE42" s="528"/>
      <c r="AF42" s="528"/>
      <c r="AG42" s="528"/>
      <c r="AH42" s="528"/>
      <c r="AI42" s="528"/>
      <c r="AJ42" s="528"/>
      <c r="AK42" s="528"/>
      <c r="AL42" s="528"/>
      <c r="AM42" s="528"/>
      <c r="AN42" s="528"/>
      <c r="AO42" s="528"/>
      <c r="AP42" s="528"/>
      <c r="AQ42" s="528"/>
      <c r="AR42" s="528"/>
      <c r="AS42" s="528"/>
      <c r="AT42" s="528"/>
      <c r="AU42" s="528"/>
      <c r="AV42" s="528"/>
      <c r="AW42" s="528"/>
      <c r="AX42" s="528"/>
      <c r="AY42" s="528"/>
      <c r="AZ42" s="528"/>
      <c r="BA42" s="528"/>
      <c r="BB42" s="528"/>
      <c r="BC42" s="528"/>
      <c r="BD42" s="528"/>
      <c r="BE42" s="528"/>
    </row>
    <row r="43" spans="1:57" s="536" customFormat="1" ht="12.95" customHeight="1" x14ac:dyDescent="0.2">
      <c r="A43" s="528"/>
      <c r="B43" s="529"/>
      <c r="C43" s="530"/>
      <c r="D43" s="553"/>
      <c r="E43" s="597"/>
      <c r="F43" s="555"/>
      <c r="G43" s="597"/>
      <c r="H43" s="597"/>
      <c r="I43" s="530"/>
      <c r="J43" s="532"/>
      <c r="K43" s="547"/>
      <c r="L43" s="547"/>
      <c r="M43" s="547"/>
      <c r="N43" s="547"/>
      <c r="O43" s="547"/>
      <c r="P43" s="547"/>
      <c r="Q43" s="547"/>
      <c r="R43" s="547"/>
      <c r="S43" s="567"/>
      <c r="T43" s="528"/>
      <c r="U43" s="528"/>
      <c r="V43" s="528"/>
      <c r="W43" s="528"/>
      <c r="X43" s="528"/>
      <c r="Y43" s="528"/>
      <c r="Z43" s="528"/>
      <c r="AA43" s="528"/>
      <c r="AB43" s="528"/>
      <c r="AC43" s="528"/>
      <c r="AD43" s="528"/>
      <c r="AE43" s="528"/>
      <c r="AF43" s="528"/>
      <c r="AG43" s="528"/>
      <c r="AH43" s="528"/>
      <c r="AI43" s="528"/>
      <c r="AJ43" s="528"/>
      <c r="AK43" s="528"/>
      <c r="AL43" s="528"/>
      <c r="AM43" s="528"/>
      <c r="AN43" s="528"/>
      <c r="AO43" s="528"/>
      <c r="AP43" s="528"/>
      <c r="AQ43" s="528"/>
      <c r="AR43" s="528"/>
      <c r="AS43" s="528"/>
      <c r="AT43" s="528"/>
      <c r="AU43" s="528"/>
      <c r="AV43" s="528"/>
      <c r="AW43" s="528"/>
      <c r="AX43" s="528"/>
      <c r="AY43" s="528"/>
      <c r="AZ43" s="528"/>
      <c r="BA43" s="528"/>
      <c r="BB43" s="528"/>
      <c r="BC43" s="528"/>
      <c r="BD43" s="528"/>
      <c r="BE43" s="528"/>
    </row>
    <row r="44" spans="1:57" s="536" customFormat="1" ht="12.95" customHeight="1" x14ac:dyDescent="0.2">
      <c r="A44" s="528"/>
      <c r="B44" s="529"/>
      <c r="C44" s="530"/>
      <c r="D44" s="533" t="s">
        <v>375</v>
      </c>
      <c r="E44" s="598"/>
      <c r="F44" s="530"/>
      <c r="G44" s="626"/>
      <c r="H44" s="626"/>
      <c r="I44" s="530"/>
      <c r="J44" s="532"/>
      <c r="K44" s="566"/>
      <c r="L44" s="566"/>
      <c r="M44" s="566"/>
      <c r="N44" s="566"/>
      <c r="O44" s="566"/>
      <c r="P44" s="637"/>
      <c r="Q44" s="637"/>
      <c r="R44" s="566"/>
      <c r="S44" s="567"/>
      <c r="T44" s="528"/>
      <c r="U44" s="528"/>
      <c r="V44" s="528"/>
      <c r="W44" s="528"/>
      <c r="X44" s="528"/>
      <c r="Y44" s="528"/>
      <c r="Z44" s="528"/>
      <c r="AA44" s="528"/>
      <c r="AB44" s="528"/>
      <c r="AC44" s="528"/>
      <c r="AD44" s="528"/>
      <c r="AE44" s="528"/>
      <c r="AF44" s="528"/>
      <c r="AG44" s="528"/>
      <c r="AH44" s="528"/>
      <c r="AI44" s="528"/>
      <c r="AJ44" s="528"/>
      <c r="AK44" s="528"/>
      <c r="AL44" s="528"/>
      <c r="AM44" s="528"/>
      <c r="AN44" s="528"/>
      <c r="AO44" s="528"/>
      <c r="AP44" s="528"/>
      <c r="AQ44" s="528"/>
      <c r="AR44" s="528"/>
      <c r="AS44" s="528"/>
      <c r="AT44" s="528"/>
      <c r="AU44" s="528"/>
      <c r="AV44" s="528"/>
      <c r="AW44" s="528"/>
      <c r="AX44" s="528"/>
      <c r="AY44" s="528"/>
      <c r="AZ44" s="528"/>
      <c r="BA44" s="528"/>
      <c r="BB44" s="528"/>
      <c r="BC44" s="528"/>
      <c r="BD44" s="528"/>
      <c r="BE44" s="528"/>
    </row>
    <row r="45" spans="1:57" s="536" customFormat="1" ht="12.95" customHeight="1" x14ac:dyDescent="0.2">
      <c r="A45" s="528"/>
      <c r="B45" s="529"/>
      <c r="C45" s="530"/>
      <c r="D45" s="530"/>
      <c r="E45" s="598"/>
      <c r="F45" s="530"/>
      <c r="G45" s="613"/>
      <c r="H45" s="614"/>
      <c r="I45" s="530"/>
      <c r="J45" s="532"/>
      <c r="K45" s="566"/>
      <c r="L45" s="566"/>
      <c r="M45" s="566"/>
      <c r="N45" s="566"/>
      <c r="O45" s="566"/>
      <c r="P45" s="637"/>
      <c r="Q45" s="637"/>
      <c r="R45" s="566"/>
      <c r="S45" s="567"/>
      <c r="T45" s="528"/>
      <c r="U45" s="528"/>
      <c r="V45" s="528"/>
      <c r="W45" s="528"/>
      <c r="X45" s="528"/>
      <c r="Y45" s="528"/>
      <c r="Z45" s="528"/>
      <c r="AA45" s="528"/>
      <c r="AB45" s="528"/>
      <c r="AC45" s="528"/>
      <c r="AD45" s="528"/>
      <c r="AE45" s="528"/>
      <c r="AF45" s="528"/>
      <c r="AG45" s="528"/>
      <c r="AH45" s="528"/>
      <c r="AI45" s="528"/>
      <c r="AJ45" s="528"/>
      <c r="AK45" s="528"/>
      <c r="AL45" s="528"/>
      <c r="AM45" s="528"/>
      <c r="AN45" s="528"/>
      <c r="AO45" s="528"/>
      <c r="AP45" s="528"/>
      <c r="AQ45" s="528"/>
      <c r="AR45" s="528"/>
      <c r="AS45" s="528"/>
      <c r="AT45" s="528"/>
      <c r="AU45" s="528"/>
      <c r="AV45" s="528"/>
      <c r="AW45" s="528"/>
      <c r="AX45" s="528"/>
      <c r="AY45" s="528"/>
      <c r="AZ45" s="528"/>
      <c r="BA45" s="528"/>
      <c r="BB45" s="528"/>
      <c r="BC45" s="528"/>
      <c r="BD45" s="528"/>
      <c r="BE45" s="528"/>
    </row>
    <row r="46" spans="1:57" s="536" customFormat="1" ht="12.95" customHeight="1" x14ac:dyDescent="0.2">
      <c r="A46" s="528"/>
      <c r="B46" s="529"/>
      <c r="C46" s="530"/>
      <c r="D46" s="541" t="s">
        <v>365</v>
      </c>
      <c r="E46" s="598"/>
      <c r="F46" s="530"/>
      <c r="G46" s="613" t="s">
        <v>47</v>
      </c>
      <c r="H46" s="614" t="s">
        <v>48</v>
      </c>
      <c r="I46" s="530"/>
      <c r="J46" s="532"/>
      <c r="K46" s="566"/>
      <c r="L46" s="566"/>
      <c r="M46" s="566"/>
      <c r="N46" s="566"/>
      <c r="O46" s="566"/>
      <c r="P46" s="637"/>
      <c r="Q46" s="637"/>
      <c r="R46" s="566"/>
      <c r="S46" s="567"/>
      <c r="T46" s="528"/>
      <c r="U46" s="528"/>
      <c r="V46" s="528"/>
      <c r="W46" s="528"/>
      <c r="X46" s="528"/>
      <c r="Y46" s="528"/>
      <c r="Z46" s="528"/>
      <c r="AA46" s="528"/>
      <c r="AB46" s="528"/>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28"/>
      <c r="AY46" s="528"/>
      <c r="AZ46" s="528"/>
      <c r="BA46" s="528"/>
      <c r="BB46" s="528"/>
      <c r="BC46" s="528"/>
      <c r="BD46" s="528"/>
      <c r="BE46" s="528"/>
    </row>
    <row r="47" spans="1:57" s="536" customFormat="1" ht="12.95" customHeight="1" x14ac:dyDescent="0.2">
      <c r="A47" s="528"/>
      <c r="B47" s="529"/>
      <c r="C47" s="530"/>
      <c r="D47" s="530" t="s">
        <v>37</v>
      </c>
      <c r="E47" s="598"/>
      <c r="F47" s="530"/>
      <c r="G47" s="622">
        <f>IF($H$41/$G$23&lt;tabellen!E6,0,($H$41-tabellen!E6*$G$23)/12)*tabellen!$C6</f>
        <v>540.73945566666669</v>
      </c>
      <c r="H47" s="627">
        <f t="shared" ref="H47:H56" si="1">G47*12</f>
        <v>6488.8734679999998</v>
      </c>
      <c r="I47" s="541"/>
      <c r="J47" s="532"/>
      <c r="K47" s="566"/>
      <c r="L47" s="566"/>
      <c r="M47" s="566"/>
      <c r="N47" s="566"/>
      <c r="O47" s="566"/>
      <c r="P47" s="637"/>
      <c r="Q47" s="637"/>
      <c r="R47" s="566"/>
      <c r="S47" s="567"/>
      <c r="T47" s="528"/>
      <c r="U47" s="528"/>
      <c r="V47" s="528"/>
      <c r="W47" s="528"/>
      <c r="X47" s="528"/>
      <c r="Y47" s="528"/>
      <c r="Z47" s="528"/>
      <c r="AA47" s="528"/>
      <c r="AB47" s="528"/>
      <c r="AC47" s="528"/>
      <c r="AD47" s="528"/>
      <c r="AE47" s="528"/>
      <c r="AF47" s="528"/>
      <c r="AG47" s="528"/>
      <c r="AH47" s="528"/>
      <c r="AI47" s="528"/>
      <c r="AJ47" s="528"/>
      <c r="AK47" s="528"/>
      <c r="AL47" s="528"/>
      <c r="AM47" s="528"/>
      <c r="AN47" s="528"/>
      <c r="AO47" s="528"/>
      <c r="AP47" s="528"/>
      <c r="AQ47" s="528"/>
      <c r="AR47" s="528"/>
      <c r="AS47" s="528"/>
      <c r="AT47" s="528"/>
      <c r="AU47" s="528"/>
      <c r="AV47" s="528"/>
      <c r="AW47" s="528"/>
      <c r="AX47" s="528"/>
      <c r="AY47" s="528"/>
      <c r="AZ47" s="528"/>
      <c r="BA47" s="528"/>
      <c r="BB47" s="528"/>
      <c r="BC47" s="528"/>
      <c r="BD47" s="528"/>
      <c r="BE47" s="528"/>
    </row>
    <row r="48" spans="1:57" s="536" customFormat="1" ht="12.95" customHeight="1" x14ac:dyDescent="0.2">
      <c r="A48" s="528"/>
      <c r="B48" s="529"/>
      <c r="C48" s="530"/>
      <c r="D48" s="530" t="s">
        <v>162</v>
      </c>
      <c r="E48" s="598"/>
      <c r="F48" s="530"/>
      <c r="G48" s="622">
        <f>IF($H$41/$G$23&lt;tabellen!E7,0,(+$H$41-tabellen!E7*$G$23)/12)*tabellen!$C7</f>
        <v>9.7357049999999994</v>
      </c>
      <c r="H48" s="627">
        <f t="shared" si="1"/>
        <v>116.82845999999999</v>
      </c>
      <c r="I48" s="541"/>
      <c r="J48" s="532"/>
      <c r="K48" s="566"/>
      <c r="L48" s="566"/>
      <c r="M48" s="566"/>
      <c r="N48" s="566"/>
      <c r="O48" s="566"/>
      <c r="P48" s="637"/>
      <c r="Q48" s="637"/>
      <c r="R48" s="566"/>
      <c r="S48" s="567"/>
      <c r="T48" s="528"/>
      <c r="U48" s="528"/>
      <c r="V48" s="528"/>
      <c r="W48" s="528"/>
      <c r="X48" s="528"/>
      <c r="Y48" s="528"/>
      <c r="Z48" s="528"/>
      <c r="AA48" s="528"/>
      <c r="AB48" s="528"/>
      <c r="AC48" s="528"/>
      <c r="AD48" s="528"/>
      <c r="AE48" s="528"/>
      <c r="AF48" s="528"/>
      <c r="AG48" s="528"/>
      <c r="AH48" s="528"/>
      <c r="AI48" s="528"/>
      <c r="AJ48" s="528"/>
      <c r="AK48" s="528"/>
      <c r="AL48" s="528"/>
      <c r="AM48" s="528"/>
      <c r="AN48" s="528"/>
      <c r="AO48" s="528"/>
      <c r="AP48" s="528"/>
      <c r="AQ48" s="528"/>
      <c r="AR48" s="528"/>
      <c r="AS48" s="528"/>
      <c r="AT48" s="528"/>
      <c r="AU48" s="528"/>
      <c r="AV48" s="528"/>
      <c r="AW48" s="528"/>
      <c r="AX48" s="528"/>
      <c r="AY48" s="528"/>
      <c r="AZ48" s="528"/>
      <c r="BA48" s="528"/>
      <c r="BB48" s="528"/>
      <c r="BC48" s="528"/>
      <c r="BD48" s="528"/>
      <c r="BE48" s="528"/>
    </row>
    <row r="49" spans="1:57" s="536" customFormat="1" ht="12.95" customHeight="1" x14ac:dyDescent="0.2">
      <c r="A49" s="528"/>
      <c r="B49" s="529"/>
      <c r="C49" s="541"/>
      <c r="D49" s="530" t="s">
        <v>260</v>
      </c>
      <c r="E49" s="601"/>
      <c r="F49" s="530"/>
      <c r="G49" s="622">
        <f>$H$41/12*tabellen!$C8</f>
        <v>116.63071333333332</v>
      </c>
      <c r="H49" s="627">
        <f t="shared" si="1"/>
        <v>1399.5685599999997</v>
      </c>
      <c r="I49" s="541"/>
      <c r="J49" s="532"/>
      <c r="K49" s="568"/>
      <c r="L49" s="566"/>
      <c r="M49" s="566"/>
      <c r="N49" s="566"/>
      <c r="O49" s="566"/>
      <c r="P49" s="637"/>
      <c r="Q49" s="637"/>
      <c r="R49" s="568"/>
      <c r="S49" s="535"/>
      <c r="T49" s="528"/>
      <c r="U49" s="528"/>
      <c r="V49" s="569"/>
      <c r="W49" s="528"/>
      <c r="X49" s="528"/>
      <c r="Y49" s="528"/>
      <c r="Z49" s="528"/>
      <c r="AA49" s="528"/>
      <c r="AB49" s="528"/>
      <c r="AC49" s="528"/>
      <c r="AD49" s="528"/>
      <c r="AE49" s="528"/>
      <c r="AF49" s="528"/>
      <c r="AG49" s="528"/>
      <c r="AH49" s="528"/>
      <c r="AI49" s="528"/>
      <c r="AJ49" s="528"/>
      <c r="AK49" s="528"/>
      <c r="AL49" s="528"/>
      <c r="AM49" s="528"/>
      <c r="AN49" s="528"/>
      <c r="AO49" s="528"/>
      <c r="AP49" s="528"/>
      <c r="AQ49" s="528"/>
      <c r="AR49" s="528"/>
      <c r="AS49" s="528"/>
      <c r="AT49" s="528"/>
      <c r="AU49" s="528"/>
      <c r="AV49" s="528"/>
      <c r="AW49" s="528"/>
      <c r="AX49" s="528"/>
      <c r="AY49" s="528"/>
      <c r="AZ49" s="528"/>
      <c r="BA49" s="528"/>
      <c r="BB49" s="528"/>
      <c r="BC49" s="528"/>
      <c r="BD49" s="528"/>
      <c r="BE49" s="528"/>
    </row>
    <row r="50" spans="1:57" s="536" customFormat="1" ht="12.95" customHeight="1" x14ac:dyDescent="0.2">
      <c r="A50" s="528"/>
      <c r="B50" s="529"/>
      <c r="C50" s="541"/>
      <c r="D50" s="530" t="s">
        <v>157</v>
      </c>
      <c r="E50" s="598"/>
      <c r="F50" s="530"/>
      <c r="G50" s="622">
        <f>IF(P28&gt;tabellen!$G$9/12,tabellen!$G$9/12,P28)*(tabellen!$C9+tabellen!$C10)</f>
        <v>333.50226589793334</v>
      </c>
      <c r="H50" s="627">
        <f>G50*12</f>
        <v>4002.0271907752003</v>
      </c>
      <c r="I50" s="534"/>
      <c r="J50" s="532"/>
      <c r="K50" s="566"/>
      <c r="L50" s="566"/>
      <c r="M50" s="566"/>
      <c r="N50" s="566"/>
      <c r="O50" s="566"/>
      <c r="P50" s="637"/>
      <c r="Q50" s="637"/>
      <c r="R50" s="566"/>
      <c r="S50" s="535"/>
      <c r="T50" s="528"/>
      <c r="U50" s="528"/>
      <c r="V50" s="528"/>
      <c r="W50" s="528"/>
      <c r="X50" s="528"/>
      <c r="Y50" s="528"/>
      <c r="Z50" s="528"/>
      <c r="AA50" s="528"/>
      <c r="AB50" s="528"/>
      <c r="AC50" s="528"/>
      <c r="AD50" s="528"/>
      <c r="AE50" s="528"/>
      <c r="AF50" s="528"/>
      <c r="AG50" s="528"/>
      <c r="AH50" s="528"/>
      <c r="AI50" s="528"/>
      <c r="AJ50" s="528"/>
      <c r="AK50" s="528"/>
      <c r="AL50" s="528"/>
      <c r="AM50" s="528"/>
      <c r="AN50" s="528"/>
      <c r="AO50" s="528"/>
      <c r="AP50" s="528"/>
      <c r="AQ50" s="528"/>
      <c r="AR50" s="528"/>
      <c r="AS50" s="528"/>
      <c r="AT50" s="528"/>
      <c r="AU50" s="528"/>
      <c r="AV50" s="528"/>
      <c r="AW50" s="528"/>
      <c r="AX50" s="528"/>
      <c r="AY50" s="528"/>
      <c r="AZ50" s="528"/>
      <c r="BA50" s="528"/>
      <c r="BB50" s="528"/>
      <c r="BC50" s="528"/>
      <c r="BD50" s="528"/>
      <c r="BE50" s="528"/>
    </row>
    <row r="51" spans="1:57" s="536" customFormat="1" ht="12.95" customHeight="1" x14ac:dyDescent="0.2">
      <c r="A51" s="528"/>
      <c r="B51" s="529"/>
      <c r="C51" s="541"/>
      <c r="D51" s="530" t="s">
        <v>241</v>
      </c>
      <c r="E51" s="598"/>
      <c r="F51" s="530"/>
      <c r="G51" s="622">
        <f>ROUND(IF(P28&gt;tabellen!H11,tabellen!H11,P28)*tabellen!C11,2)</f>
        <v>295.39999999999998</v>
      </c>
      <c r="H51" s="627">
        <f t="shared" si="1"/>
        <v>3544.7999999999997</v>
      </c>
      <c r="I51" s="534"/>
      <c r="J51" s="532"/>
      <c r="K51" s="547"/>
      <c r="L51" s="547"/>
      <c r="M51" s="547"/>
      <c r="N51" s="547"/>
      <c r="O51" s="547"/>
      <c r="P51" s="633"/>
      <c r="Q51" s="633"/>
      <c r="R51" s="547"/>
      <c r="S51" s="535"/>
      <c r="T51" s="528"/>
      <c r="U51" s="528"/>
      <c r="V51" s="570"/>
      <c r="W51" s="528"/>
      <c r="X51" s="528"/>
      <c r="Y51" s="528"/>
      <c r="Z51" s="528"/>
      <c r="AA51" s="528"/>
      <c r="AB51" s="528"/>
      <c r="AC51" s="528"/>
      <c r="AD51" s="528"/>
      <c r="AE51" s="528"/>
      <c r="AF51" s="528"/>
      <c r="AG51" s="528"/>
      <c r="AH51" s="528"/>
      <c r="AI51" s="528"/>
      <c r="AJ51" s="528"/>
      <c r="AK51" s="528"/>
      <c r="AL51" s="528"/>
      <c r="AM51" s="528"/>
      <c r="AN51" s="528"/>
      <c r="AO51" s="528"/>
      <c r="AP51" s="528"/>
      <c r="AQ51" s="528"/>
      <c r="AR51" s="528"/>
      <c r="AS51" s="528"/>
      <c r="AT51" s="528"/>
      <c r="AU51" s="528"/>
      <c r="AV51" s="528"/>
      <c r="AW51" s="528"/>
      <c r="AX51" s="528"/>
      <c r="AY51" s="528"/>
      <c r="AZ51" s="528"/>
      <c r="BA51" s="528"/>
      <c r="BB51" s="528"/>
      <c r="BC51" s="528"/>
      <c r="BD51" s="528"/>
      <c r="BE51" s="528"/>
    </row>
    <row r="52" spans="1:57" s="536" customFormat="1" ht="12.95" customHeight="1" x14ac:dyDescent="0.2">
      <c r="A52" s="528"/>
      <c r="B52" s="529"/>
      <c r="C52" s="530"/>
      <c r="D52" s="530" t="s">
        <v>43</v>
      </c>
      <c r="E52" s="598"/>
      <c r="F52" s="530"/>
      <c r="G52" s="622">
        <f>IF(P28&gt;tabellen!$G$12*$G$23/12,tabellen!$G$12*$G$23/12,P28)*tabellen!$C12</f>
        <v>33.393038177199998</v>
      </c>
      <c r="H52" s="627">
        <f t="shared" si="1"/>
        <v>400.71645812639997</v>
      </c>
      <c r="I52" s="534"/>
      <c r="J52" s="532"/>
      <c r="K52" s="547"/>
      <c r="L52" s="547"/>
      <c r="M52" s="547"/>
      <c r="N52" s="547"/>
      <c r="O52" s="547"/>
      <c r="P52" s="633"/>
      <c r="Q52" s="633"/>
      <c r="R52" s="547"/>
      <c r="S52" s="535"/>
      <c r="T52" s="528"/>
      <c r="U52" s="528"/>
      <c r="V52" s="528"/>
      <c r="W52" s="528"/>
      <c r="X52" s="528"/>
      <c r="Y52" s="528"/>
      <c r="Z52" s="528"/>
      <c r="AA52" s="528"/>
      <c r="AB52" s="528"/>
      <c r="AC52" s="528"/>
      <c r="AD52" s="528"/>
      <c r="AE52" s="528"/>
      <c r="AF52" s="528"/>
      <c r="AG52" s="528"/>
      <c r="AH52" s="528"/>
      <c r="AI52" s="528"/>
      <c r="AJ52" s="528"/>
      <c r="AK52" s="528"/>
      <c r="AL52" s="528"/>
      <c r="AM52" s="528"/>
      <c r="AN52" s="528"/>
      <c r="AO52" s="528"/>
      <c r="AP52" s="528"/>
      <c r="AQ52" s="528"/>
      <c r="AR52" s="528"/>
      <c r="AS52" s="528"/>
      <c r="AT52" s="528"/>
      <c r="AU52" s="528"/>
      <c r="AV52" s="528"/>
      <c r="AW52" s="528"/>
      <c r="AX52" s="528"/>
      <c r="AY52" s="528"/>
      <c r="AZ52" s="528"/>
      <c r="BA52" s="528"/>
      <c r="BB52" s="528"/>
      <c r="BC52" s="528"/>
      <c r="BD52" s="528"/>
      <c r="BE52" s="528"/>
    </row>
    <row r="53" spans="1:57" s="573" customFormat="1" ht="12.95" customHeight="1" x14ac:dyDescent="0.2">
      <c r="A53" s="570"/>
      <c r="B53" s="529"/>
      <c r="C53" s="530"/>
      <c r="D53" s="541"/>
      <c r="E53" s="601"/>
      <c r="F53" s="541"/>
      <c r="G53" s="628">
        <f>SUM(G47:G52)</f>
        <v>1329.4011780751332</v>
      </c>
      <c r="H53" s="628">
        <f>SUM(H47:H52)</f>
        <v>15952.814136901599</v>
      </c>
      <c r="I53" s="534"/>
      <c r="J53" s="571"/>
      <c r="K53" s="572"/>
      <c r="L53" s="572"/>
      <c r="M53" s="572"/>
      <c r="N53" s="572"/>
      <c r="O53" s="572"/>
      <c r="P53" s="638"/>
      <c r="Q53" s="638"/>
      <c r="R53" s="572"/>
      <c r="S53" s="535"/>
      <c r="T53" s="570"/>
      <c r="U53" s="570"/>
      <c r="V53" s="528"/>
      <c r="W53" s="570"/>
      <c r="X53" s="570"/>
      <c r="Y53" s="570"/>
      <c r="Z53" s="570"/>
      <c r="AA53" s="570"/>
      <c r="AB53" s="570"/>
      <c r="AC53" s="570"/>
      <c r="AD53" s="570"/>
      <c r="AE53" s="570"/>
      <c r="AF53" s="570"/>
      <c r="AG53" s="570"/>
      <c r="AH53" s="570"/>
      <c r="AI53" s="570"/>
      <c r="AJ53" s="570"/>
      <c r="AK53" s="570"/>
      <c r="AL53" s="570"/>
      <c r="AM53" s="570"/>
      <c r="AN53" s="570"/>
      <c r="AO53" s="570"/>
      <c r="AP53" s="570"/>
      <c r="AQ53" s="570"/>
      <c r="AR53" s="570"/>
      <c r="AS53" s="570"/>
      <c r="AT53" s="570"/>
      <c r="AU53" s="570"/>
      <c r="AV53" s="570"/>
      <c r="AW53" s="570"/>
      <c r="AX53" s="570"/>
      <c r="AY53" s="570"/>
      <c r="AZ53" s="570"/>
      <c r="BA53" s="570"/>
      <c r="BB53" s="570"/>
      <c r="BC53" s="570"/>
      <c r="BD53" s="570"/>
      <c r="BE53" s="570"/>
    </row>
    <row r="54" spans="1:57" s="573" customFormat="1" ht="12.95" customHeight="1" x14ac:dyDescent="0.2">
      <c r="A54" s="570"/>
      <c r="B54" s="574"/>
      <c r="C54" s="530"/>
      <c r="D54" s="541" t="s">
        <v>366</v>
      </c>
      <c r="E54" s="598"/>
      <c r="F54" s="530"/>
      <c r="G54" s="598"/>
      <c r="H54" s="598"/>
      <c r="I54" s="534"/>
      <c r="J54" s="571"/>
      <c r="K54" s="566"/>
      <c r="L54" s="566"/>
      <c r="M54" s="566"/>
      <c r="N54" s="566"/>
      <c r="O54" s="566"/>
      <c r="P54" s="637"/>
      <c r="Q54" s="637"/>
      <c r="R54" s="566"/>
      <c r="S54" s="575"/>
      <c r="T54" s="570"/>
      <c r="U54" s="570"/>
      <c r="V54" s="528"/>
      <c r="W54" s="570"/>
      <c r="X54" s="570"/>
      <c r="Y54" s="570"/>
      <c r="Z54" s="570"/>
      <c r="AA54" s="570"/>
      <c r="AB54" s="570"/>
      <c r="AC54" s="570"/>
      <c r="AD54" s="570"/>
      <c r="AE54" s="570"/>
      <c r="AF54" s="570"/>
      <c r="AG54" s="570"/>
      <c r="AH54" s="570"/>
      <c r="AI54" s="570"/>
      <c r="AJ54" s="570"/>
      <c r="AK54" s="570"/>
      <c r="AL54" s="570"/>
      <c r="AM54" s="570"/>
      <c r="AN54" s="570"/>
      <c r="AO54" s="570"/>
      <c r="AP54" s="570"/>
      <c r="AQ54" s="570"/>
      <c r="AR54" s="570"/>
      <c r="AS54" s="570"/>
      <c r="AT54" s="570"/>
      <c r="AU54" s="570"/>
      <c r="AV54" s="570"/>
      <c r="AW54" s="570"/>
      <c r="AX54" s="570"/>
      <c r="AY54" s="570"/>
      <c r="AZ54" s="570"/>
      <c r="BA54" s="570"/>
      <c r="BB54" s="570"/>
      <c r="BC54" s="570"/>
      <c r="BD54" s="570"/>
      <c r="BE54" s="570"/>
    </row>
    <row r="55" spans="1:57" s="536" customFormat="1" ht="12.95" customHeight="1" x14ac:dyDescent="0.2">
      <c r="A55" s="528"/>
      <c r="B55" s="574"/>
      <c r="C55" s="530"/>
      <c r="D55" s="530" t="s">
        <v>357</v>
      </c>
      <c r="E55" s="602">
        <v>3</v>
      </c>
      <c r="F55" s="530"/>
      <c r="G55" s="622">
        <f>+P28*IF(E55=1,tabellen!$C13,IF(E55=2,tabellen!C14,IF(E55=3,tabellen!C15,tabellen!C16)))</f>
        <v>9.4185492294666666</v>
      </c>
      <c r="H55" s="627">
        <f>G55*12</f>
        <v>113.0225907536</v>
      </c>
      <c r="I55" s="530"/>
      <c r="J55" s="532"/>
      <c r="K55" s="566"/>
      <c r="L55" s="566"/>
      <c r="M55" s="566"/>
      <c r="N55" s="566"/>
      <c r="O55" s="566"/>
      <c r="P55" s="637"/>
      <c r="Q55" s="637"/>
      <c r="R55" s="566"/>
      <c r="S55" s="575"/>
      <c r="T55" s="528"/>
      <c r="U55" s="528"/>
      <c r="V55" s="528"/>
      <c r="W55" s="528"/>
      <c r="X55" s="528"/>
      <c r="Y55" s="528"/>
      <c r="Z55" s="528"/>
      <c r="AA55" s="528"/>
      <c r="AB55" s="528"/>
      <c r="AC55" s="528"/>
      <c r="AD55" s="528"/>
      <c r="AE55" s="528"/>
      <c r="AF55" s="528"/>
      <c r="AG55" s="528"/>
      <c r="AH55" s="528"/>
      <c r="AI55" s="528"/>
      <c r="AJ55" s="528"/>
      <c r="AK55" s="528"/>
      <c r="AL55" s="528"/>
      <c r="AM55" s="528"/>
      <c r="AN55" s="528"/>
      <c r="AO55" s="528"/>
      <c r="AP55" s="528"/>
      <c r="AQ55" s="528"/>
      <c r="AR55" s="528"/>
      <c r="AS55" s="528"/>
      <c r="AT55" s="528"/>
      <c r="AU55" s="528"/>
      <c r="AV55" s="528"/>
      <c r="AW55" s="528"/>
      <c r="AX55" s="528"/>
      <c r="AY55" s="528"/>
      <c r="AZ55" s="528"/>
      <c r="BA55" s="528"/>
      <c r="BB55" s="528"/>
      <c r="BC55" s="528"/>
      <c r="BD55" s="528"/>
      <c r="BE55" s="528"/>
    </row>
    <row r="56" spans="1:57" s="536" customFormat="1" ht="12.95" customHeight="1" x14ac:dyDescent="0.2">
      <c r="A56" s="528"/>
      <c r="B56" s="529"/>
      <c r="C56" s="530"/>
      <c r="D56" s="530" t="s">
        <v>358</v>
      </c>
      <c r="E56" s="598"/>
      <c r="F56" s="530"/>
      <c r="G56" s="622">
        <f>+P28*tabellen!$C17</f>
        <v>224.76083388499998</v>
      </c>
      <c r="H56" s="627">
        <f t="shared" si="1"/>
        <v>2697.1300066199997</v>
      </c>
      <c r="I56" s="530"/>
      <c r="J56" s="532"/>
      <c r="K56" s="576"/>
      <c r="L56" s="576"/>
      <c r="M56" s="576"/>
      <c r="N56" s="576"/>
      <c r="O56" s="576"/>
      <c r="P56" s="639"/>
      <c r="Q56" s="639"/>
      <c r="R56" s="576"/>
      <c r="S56" s="535"/>
      <c r="T56" s="528"/>
      <c r="U56" s="528"/>
      <c r="V56" s="528"/>
      <c r="W56" s="528"/>
      <c r="X56" s="528"/>
      <c r="Y56" s="528"/>
      <c r="Z56" s="528"/>
      <c r="AA56" s="528"/>
      <c r="AB56" s="528"/>
      <c r="AC56" s="528"/>
      <c r="AD56" s="528"/>
      <c r="AE56" s="528"/>
      <c r="AF56" s="528"/>
      <c r="AG56" s="528"/>
      <c r="AH56" s="528"/>
      <c r="AI56" s="528"/>
      <c r="AJ56" s="528"/>
      <c r="AK56" s="528"/>
      <c r="AL56" s="528"/>
      <c r="AM56" s="528"/>
      <c r="AN56" s="528"/>
      <c r="AO56" s="528"/>
      <c r="AP56" s="528"/>
      <c r="AQ56" s="528"/>
      <c r="AR56" s="528"/>
      <c r="AS56" s="528"/>
      <c r="AT56" s="528"/>
      <c r="AU56" s="528"/>
      <c r="AV56" s="528"/>
      <c r="AW56" s="528"/>
      <c r="AX56" s="528"/>
      <c r="AY56" s="528"/>
      <c r="AZ56" s="528"/>
      <c r="BA56" s="528"/>
      <c r="BB56" s="528"/>
      <c r="BC56" s="528"/>
      <c r="BD56" s="528"/>
      <c r="BE56" s="528"/>
    </row>
    <row r="57" spans="1:57" s="536" customFormat="1" ht="12.95" customHeight="1" x14ac:dyDescent="0.2">
      <c r="A57" s="528"/>
      <c r="B57" s="529"/>
      <c r="C57" s="530"/>
      <c r="D57" s="530" t="s">
        <v>240</v>
      </c>
      <c r="E57" s="598"/>
      <c r="F57" s="530"/>
      <c r="G57" s="622">
        <f>H57/12</f>
        <v>0</v>
      </c>
      <c r="H57" s="629">
        <v>0</v>
      </c>
      <c r="I57" s="530"/>
      <c r="J57" s="532"/>
      <c r="K57" s="576"/>
      <c r="L57" s="576"/>
      <c r="M57" s="576"/>
      <c r="N57" s="576"/>
      <c r="O57" s="576"/>
      <c r="P57" s="639"/>
      <c r="Q57" s="639"/>
      <c r="R57" s="576"/>
      <c r="S57" s="535"/>
      <c r="T57" s="528"/>
      <c r="U57" s="528"/>
      <c r="V57" s="528"/>
      <c r="W57" s="528"/>
      <c r="X57" s="528"/>
      <c r="Y57" s="528"/>
      <c r="Z57" s="528"/>
      <c r="AA57" s="528"/>
      <c r="AB57" s="528"/>
      <c r="AC57" s="528"/>
      <c r="AD57" s="528"/>
      <c r="AE57" s="528"/>
      <c r="AF57" s="528"/>
      <c r="AG57" s="528"/>
      <c r="AH57" s="528"/>
      <c r="AI57" s="528"/>
      <c r="AJ57" s="528"/>
      <c r="AK57" s="528"/>
      <c r="AL57" s="528"/>
      <c r="AM57" s="528"/>
      <c r="AN57" s="528"/>
      <c r="AO57" s="528"/>
      <c r="AP57" s="528"/>
      <c r="AQ57" s="528"/>
      <c r="AR57" s="528"/>
      <c r="AS57" s="528"/>
      <c r="AT57" s="528"/>
      <c r="AU57" s="528"/>
      <c r="AV57" s="528"/>
      <c r="AW57" s="528"/>
      <c r="AX57" s="528"/>
      <c r="AY57" s="528"/>
      <c r="AZ57" s="528"/>
      <c r="BA57" s="528"/>
      <c r="BB57" s="528"/>
      <c r="BC57" s="528"/>
      <c r="BD57" s="528"/>
      <c r="BE57" s="528"/>
    </row>
    <row r="58" spans="1:57" s="536" customFormat="1" ht="12.95" customHeight="1" x14ac:dyDescent="0.2">
      <c r="A58" s="528"/>
      <c r="B58" s="529"/>
      <c r="C58" s="530"/>
      <c r="D58" s="541"/>
      <c r="E58" s="601"/>
      <c r="F58" s="541"/>
      <c r="G58" s="628">
        <f>SUM(G55:G57)</f>
        <v>234.17938311446665</v>
      </c>
      <c r="H58" s="628">
        <f>SUM(H55:H57)</f>
        <v>2810.1525973735997</v>
      </c>
      <c r="I58" s="530"/>
      <c r="J58" s="532"/>
      <c r="K58" s="576"/>
      <c r="L58" s="576"/>
      <c r="M58" s="576"/>
      <c r="N58" s="576"/>
      <c r="O58" s="576"/>
      <c r="P58" s="639"/>
      <c r="Q58" s="639"/>
      <c r="R58" s="576"/>
      <c r="S58" s="535"/>
      <c r="T58" s="528"/>
      <c r="U58" s="528"/>
      <c r="V58" s="528"/>
      <c r="W58" s="528"/>
      <c r="X58" s="528"/>
      <c r="Y58" s="528"/>
      <c r="Z58" s="528"/>
      <c r="AA58" s="528"/>
      <c r="AB58" s="528"/>
      <c r="AC58" s="528"/>
      <c r="AD58" s="528"/>
      <c r="AE58" s="528"/>
      <c r="AF58" s="528"/>
      <c r="AG58" s="528"/>
      <c r="AH58" s="528"/>
      <c r="AI58" s="528"/>
      <c r="AJ58" s="528"/>
      <c r="AK58" s="528"/>
      <c r="AL58" s="528"/>
      <c r="AM58" s="528"/>
      <c r="AN58" s="528"/>
      <c r="AO58" s="528"/>
      <c r="AP58" s="528"/>
      <c r="AQ58" s="528"/>
      <c r="AR58" s="528"/>
      <c r="AS58" s="528"/>
      <c r="AT58" s="528"/>
      <c r="AU58" s="528"/>
      <c r="AV58" s="528"/>
      <c r="AW58" s="528"/>
      <c r="AX58" s="528"/>
      <c r="AY58" s="528"/>
      <c r="AZ58" s="528"/>
      <c r="BA58" s="528"/>
      <c r="BB58" s="528"/>
      <c r="BC58" s="528"/>
      <c r="BD58" s="528"/>
      <c r="BE58" s="528"/>
    </row>
    <row r="59" spans="1:57" s="536" customFormat="1" ht="12.95" customHeight="1" x14ac:dyDescent="0.2">
      <c r="A59" s="528"/>
      <c r="B59" s="529"/>
      <c r="C59" s="530"/>
      <c r="D59" s="530"/>
      <c r="E59" s="598"/>
      <c r="F59" s="530"/>
      <c r="G59" s="598"/>
      <c r="H59" s="598"/>
      <c r="I59" s="530"/>
      <c r="J59" s="532"/>
      <c r="K59" s="576"/>
      <c r="L59" s="576"/>
      <c r="M59" s="576"/>
      <c r="N59" s="576"/>
      <c r="O59" s="576"/>
      <c r="P59" s="639"/>
      <c r="Q59" s="639"/>
      <c r="R59" s="576"/>
      <c r="S59" s="535"/>
      <c r="T59" s="528"/>
      <c r="U59" s="528"/>
      <c r="V59" s="548"/>
      <c r="W59" s="528"/>
      <c r="X59" s="528"/>
      <c r="Y59" s="569"/>
      <c r="Z59" s="528"/>
      <c r="AA59" s="528"/>
      <c r="AB59" s="528"/>
      <c r="AC59" s="528"/>
      <c r="AD59" s="528"/>
      <c r="AE59" s="528"/>
      <c r="AF59" s="528"/>
      <c r="AG59" s="528"/>
      <c r="AH59" s="528"/>
      <c r="AI59" s="528"/>
      <c r="AJ59" s="528"/>
      <c r="AK59" s="528"/>
      <c r="AL59" s="528"/>
      <c r="AM59" s="528"/>
      <c r="AN59" s="528"/>
      <c r="AO59" s="528"/>
      <c r="AP59" s="528"/>
      <c r="AQ59" s="528"/>
      <c r="AR59" s="528"/>
      <c r="AS59" s="528"/>
      <c r="AT59" s="528"/>
      <c r="AU59" s="528"/>
      <c r="AV59" s="528"/>
      <c r="AW59" s="528"/>
      <c r="AX59" s="528"/>
      <c r="AY59" s="528"/>
      <c r="AZ59" s="528"/>
      <c r="BA59" s="528"/>
      <c r="BB59" s="528"/>
      <c r="BC59" s="528"/>
      <c r="BD59" s="528"/>
      <c r="BE59" s="528"/>
    </row>
    <row r="60" spans="1:57" s="536" customFormat="1" ht="12.95" customHeight="1" x14ac:dyDescent="0.2">
      <c r="A60" s="528"/>
      <c r="B60" s="529"/>
      <c r="C60" s="530"/>
      <c r="D60" s="552" t="s">
        <v>363</v>
      </c>
      <c r="E60" s="603"/>
      <c r="F60" s="552"/>
      <c r="G60" s="623">
        <f>G53+G58</f>
        <v>1563.5805611895998</v>
      </c>
      <c r="H60" s="623">
        <f>H53+H58</f>
        <v>18762.9667342752</v>
      </c>
      <c r="I60" s="530"/>
      <c r="J60" s="532"/>
      <c r="K60" s="576"/>
      <c r="L60" s="576"/>
      <c r="M60" s="576"/>
      <c r="N60" s="576"/>
      <c r="O60" s="576"/>
      <c r="P60" s="639"/>
      <c r="Q60" s="639"/>
      <c r="R60" s="576"/>
      <c r="S60" s="535"/>
      <c r="T60" s="528"/>
      <c r="U60" s="528"/>
      <c r="V60" s="548"/>
      <c r="W60" s="528"/>
      <c r="X60" s="528"/>
      <c r="Y60" s="569"/>
      <c r="Z60" s="528"/>
      <c r="AA60" s="528"/>
      <c r="AB60" s="528"/>
      <c r="AC60" s="528"/>
      <c r="AD60" s="528"/>
      <c r="AE60" s="528"/>
      <c r="AF60" s="528"/>
      <c r="AG60" s="528"/>
      <c r="AH60" s="528"/>
      <c r="AI60" s="528"/>
      <c r="AJ60" s="528"/>
      <c r="AK60" s="528"/>
      <c r="AL60" s="528"/>
      <c r="AM60" s="528"/>
      <c r="AN60" s="528"/>
      <c r="AO60" s="528"/>
      <c r="AP60" s="528"/>
      <c r="AQ60" s="528"/>
      <c r="AR60" s="528"/>
      <c r="AS60" s="528"/>
      <c r="AT60" s="528"/>
      <c r="AU60" s="528"/>
      <c r="AV60" s="528"/>
      <c r="AW60" s="528"/>
      <c r="AX60" s="528"/>
      <c r="AY60" s="528"/>
      <c r="AZ60" s="528"/>
      <c r="BA60" s="528"/>
      <c r="BB60" s="528"/>
      <c r="BC60" s="528"/>
      <c r="BD60" s="528"/>
      <c r="BE60" s="528"/>
    </row>
    <row r="61" spans="1:57" s="536" customFormat="1" ht="12.95" customHeight="1" thickBot="1" x14ac:dyDescent="0.25">
      <c r="A61" s="528"/>
      <c r="B61" s="529"/>
      <c r="C61" s="530"/>
      <c r="D61" s="565"/>
      <c r="E61" s="604"/>
      <c r="F61" s="565"/>
      <c r="G61" s="604"/>
      <c r="H61" s="604"/>
      <c r="I61" s="530"/>
      <c r="J61" s="532"/>
      <c r="K61" s="566"/>
      <c r="L61" s="577"/>
      <c r="M61" s="577"/>
      <c r="N61" s="577"/>
      <c r="O61" s="577"/>
      <c r="P61" s="640"/>
      <c r="Q61" s="640"/>
      <c r="R61" s="566"/>
      <c r="S61" s="535"/>
      <c r="T61" s="528"/>
      <c r="U61" s="528"/>
      <c r="V61" s="548"/>
      <c r="W61" s="528"/>
      <c r="X61" s="528"/>
      <c r="Y61" s="569"/>
      <c r="Z61" s="528"/>
      <c r="AA61" s="528"/>
      <c r="AB61" s="528"/>
      <c r="AC61" s="528"/>
      <c r="AD61" s="528"/>
      <c r="AE61" s="528"/>
      <c r="AF61" s="528"/>
      <c r="AG61" s="528"/>
      <c r="AH61" s="528"/>
      <c r="AI61" s="528"/>
      <c r="AJ61" s="528"/>
      <c r="AK61" s="528"/>
      <c r="AL61" s="528"/>
      <c r="AM61" s="528"/>
      <c r="AN61" s="528"/>
      <c r="AO61" s="528"/>
      <c r="AP61" s="528"/>
      <c r="AQ61" s="528"/>
      <c r="AR61" s="528"/>
      <c r="AS61" s="528"/>
      <c r="AT61" s="528"/>
      <c r="AU61" s="528"/>
      <c r="AV61" s="528"/>
      <c r="AW61" s="528"/>
      <c r="AX61" s="528"/>
      <c r="AY61" s="528"/>
      <c r="AZ61" s="528"/>
      <c r="BA61" s="528"/>
      <c r="BB61" s="528"/>
      <c r="BC61" s="528"/>
      <c r="BD61" s="528"/>
      <c r="BE61" s="528"/>
    </row>
    <row r="62" spans="1:57" s="536" customFormat="1" ht="12.95" customHeight="1" thickTop="1" x14ac:dyDescent="0.2">
      <c r="A62" s="528"/>
      <c r="B62" s="529"/>
      <c r="C62" s="530"/>
      <c r="D62" s="554"/>
      <c r="E62" s="597"/>
      <c r="F62" s="554"/>
      <c r="G62" s="597"/>
      <c r="H62" s="597"/>
      <c r="I62" s="554"/>
      <c r="J62" s="532"/>
      <c r="K62" s="566"/>
      <c r="L62" s="577"/>
      <c r="M62" s="577"/>
      <c r="N62" s="577"/>
      <c r="O62" s="577"/>
      <c r="P62" s="640"/>
      <c r="Q62" s="640"/>
      <c r="R62" s="566"/>
      <c r="S62" s="535"/>
      <c r="T62" s="528"/>
      <c r="U62" s="528"/>
      <c r="V62" s="548"/>
      <c r="W62" s="528"/>
      <c r="X62" s="528"/>
      <c r="Y62" s="569"/>
      <c r="Z62" s="528"/>
      <c r="AA62" s="528"/>
      <c r="AB62" s="528"/>
      <c r="AC62" s="528"/>
      <c r="AD62" s="528"/>
      <c r="AE62" s="528"/>
      <c r="AF62" s="528"/>
      <c r="AG62" s="528"/>
      <c r="AH62" s="528"/>
      <c r="AI62" s="528"/>
      <c r="AJ62" s="528"/>
      <c r="AK62" s="528"/>
      <c r="AL62" s="528"/>
      <c r="AM62" s="528"/>
      <c r="AN62" s="528"/>
      <c r="AO62" s="528"/>
      <c r="AP62" s="528"/>
      <c r="AQ62" s="528"/>
      <c r="AR62" s="528"/>
      <c r="AS62" s="528"/>
      <c r="AT62" s="528"/>
      <c r="AU62" s="528"/>
      <c r="AV62" s="528"/>
      <c r="AW62" s="528"/>
      <c r="AX62" s="528"/>
      <c r="AY62" s="528"/>
      <c r="AZ62" s="528"/>
      <c r="BA62" s="528"/>
      <c r="BB62" s="528"/>
      <c r="BC62" s="528"/>
      <c r="BD62" s="528"/>
      <c r="BE62" s="528"/>
    </row>
    <row r="63" spans="1:57" ht="12.95" customHeight="1" x14ac:dyDescent="0.2">
      <c r="B63" s="513"/>
      <c r="C63" s="538"/>
      <c r="D63" s="537" t="s">
        <v>389</v>
      </c>
      <c r="E63" s="647"/>
      <c r="F63" s="537"/>
      <c r="G63" s="648">
        <f>G40+G60</f>
        <v>6080.6572278562671</v>
      </c>
      <c r="H63" s="648">
        <f>H40+H60</f>
        <v>72967.886734275206</v>
      </c>
      <c r="I63" s="538"/>
      <c r="J63" s="514"/>
      <c r="K63" s="649"/>
      <c r="L63" s="650"/>
      <c r="M63" s="650"/>
      <c r="N63" s="650"/>
      <c r="O63" s="650"/>
      <c r="P63" s="651"/>
      <c r="Q63" s="651"/>
      <c r="R63" s="649"/>
      <c r="S63" s="515"/>
    </row>
    <row r="64" spans="1:57" s="536" customFormat="1" ht="12.95" customHeight="1" x14ac:dyDescent="0.2">
      <c r="A64" s="528"/>
      <c r="B64" s="529"/>
      <c r="C64" s="530"/>
      <c r="D64" s="530"/>
      <c r="E64" s="598"/>
      <c r="F64" s="530"/>
      <c r="G64" s="598"/>
      <c r="H64" s="598"/>
      <c r="I64" s="530"/>
      <c r="J64" s="532"/>
      <c r="K64" s="566"/>
      <c r="L64" s="577"/>
      <c r="M64" s="577"/>
      <c r="N64" s="577"/>
      <c r="O64" s="577"/>
      <c r="P64" s="640"/>
      <c r="Q64" s="640"/>
      <c r="R64" s="566"/>
      <c r="S64" s="535"/>
      <c r="T64" s="528"/>
      <c r="U64" s="528"/>
      <c r="V64" s="528"/>
      <c r="W64" s="528"/>
      <c r="X64" s="528"/>
      <c r="Y64" s="528"/>
      <c r="Z64" s="528"/>
      <c r="AA64" s="528"/>
      <c r="AB64" s="528"/>
      <c r="AC64" s="528"/>
      <c r="AD64" s="528"/>
      <c r="AE64" s="528"/>
      <c r="AF64" s="528"/>
      <c r="AG64" s="528"/>
      <c r="AH64" s="528"/>
      <c r="AI64" s="528"/>
      <c r="AJ64" s="528"/>
      <c r="AK64" s="528"/>
      <c r="AL64" s="528"/>
      <c r="AM64" s="528"/>
      <c r="AN64" s="528"/>
      <c r="AO64" s="528"/>
      <c r="AP64" s="528"/>
      <c r="AQ64" s="528"/>
      <c r="AR64" s="528"/>
      <c r="AS64" s="528"/>
      <c r="AT64" s="528"/>
      <c r="AU64" s="528"/>
      <c r="AV64" s="528"/>
      <c r="AW64" s="528"/>
      <c r="AX64" s="528"/>
      <c r="AY64" s="528"/>
      <c r="AZ64" s="528"/>
      <c r="BA64" s="528"/>
      <c r="BB64" s="528"/>
      <c r="BC64" s="528"/>
      <c r="BD64" s="528"/>
      <c r="BE64" s="528"/>
    </row>
    <row r="65" spans="1:57" s="536" customFormat="1" ht="12.95" customHeight="1" x14ac:dyDescent="0.2">
      <c r="A65" s="528"/>
      <c r="B65" s="529"/>
      <c r="C65" s="685"/>
      <c r="D65" s="685"/>
      <c r="E65" s="686"/>
      <c r="F65" s="685"/>
      <c r="G65" s="686"/>
      <c r="H65" s="686"/>
      <c r="I65" s="685"/>
      <c r="J65" s="532"/>
      <c r="K65" s="566"/>
      <c r="L65" s="577"/>
      <c r="M65" s="577"/>
      <c r="N65" s="577"/>
      <c r="O65" s="577"/>
      <c r="P65" s="640"/>
      <c r="Q65" s="640"/>
      <c r="R65" s="566"/>
      <c r="S65" s="535"/>
      <c r="T65" s="528"/>
      <c r="U65" s="528"/>
      <c r="V65" s="528"/>
      <c r="W65" s="528"/>
      <c r="X65" s="528"/>
      <c r="Y65" s="528"/>
      <c r="Z65" s="528"/>
      <c r="AA65" s="528"/>
      <c r="AB65" s="528"/>
      <c r="AC65" s="528"/>
      <c r="AD65" s="528"/>
      <c r="AE65" s="528"/>
      <c r="AF65" s="528"/>
      <c r="AG65" s="528"/>
      <c r="AH65" s="528"/>
      <c r="AI65" s="528"/>
      <c r="AJ65" s="528"/>
      <c r="AK65" s="528"/>
      <c r="AL65" s="528"/>
      <c r="AM65" s="528"/>
      <c r="AN65" s="528"/>
      <c r="AO65" s="528"/>
      <c r="AP65" s="528"/>
      <c r="AQ65" s="528"/>
      <c r="AR65" s="528"/>
      <c r="AS65" s="528"/>
      <c r="AT65" s="528"/>
      <c r="AU65" s="528"/>
      <c r="AV65" s="528"/>
      <c r="AW65" s="528"/>
      <c r="AX65" s="528"/>
      <c r="AY65" s="528"/>
      <c r="AZ65" s="528"/>
      <c r="BA65" s="528"/>
      <c r="BB65" s="528"/>
      <c r="BC65" s="528"/>
      <c r="BD65" s="528"/>
      <c r="BE65" s="528"/>
    </row>
    <row r="66" spans="1:57" s="536" customFormat="1" ht="12.95" customHeight="1" x14ac:dyDescent="0.2">
      <c r="A66" s="528"/>
      <c r="B66" s="529"/>
      <c r="C66" s="685"/>
      <c r="D66" s="685"/>
      <c r="E66" s="686"/>
      <c r="F66" s="685"/>
      <c r="G66" s="686"/>
      <c r="H66" s="686"/>
      <c r="I66" s="685"/>
      <c r="J66" s="532"/>
      <c r="K66" s="566"/>
      <c r="L66" s="577"/>
      <c r="M66" s="577"/>
      <c r="N66" s="577"/>
      <c r="O66" s="577"/>
      <c r="P66" s="640"/>
      <c r="Q66" s="640"/>
      <c r="R66" s="566"/>
      <c r="S66" s="535"/>
      <c r="T66" s="528"/>
      <c r="U66" s="528"/>
      <c r="V66" s="528"/>
      <c r="W66" s="528"/>
      <c r="X66" s="528"/>
      <c r="Y66" s="528"/>
      <c r="Z66" s="528"/>
      <c r="AA66" s="528"/>
      <c r="AB66" s="528"/>
      <c r="AC66" s="528"/>
      <c r="AD66" s="528"/>
      <c r="AE66" s="528"/>
      <c r="AF66" s="528"/>
      <c r="AG66" s="528"/>
      <c r="AH66" s="528"/>
      <c r="AI66" s="528"/>
      <c r="AJ66" s="528"/>
      <c r="AK66" s="528"/>
      <c r="AL66" s="528"/>
      <c r="AM66" s="528"/>
      <c r="AN66" s="528"/>
      <c r="AO66" s="528"/>
      <c r="AP66" s="528"/>
      <c r="AQ66" s="528"/>
      <c r="AR66" s="528"/>
      <c r="AS66" s="528"/>
      <c r="AT66" s="528"/>
      <c r="AU66" s="528"/>
      <c r="AV66" s="528"/>
      <c r="AW66" s="528"/>
      <c r="AX66" s="528"/>
      <c r="AY66" s="528"/>
      <c r="AZ66" s="528"/>
      <c r="BA66" s="528"/>
      <c r="BB66" s="528"/>
      <c r="BC66" s="528"/>
      <c r="BD66" s="528"/>
      <c r="BE66" s="528"/>
    </row>
    <row r="67" spans="1:57" s="536" customFormat="1" ht="12.95" customHeight="1" x14ac:dyDescent="0.2">
      <c r="A67" s="528"/>
      <c r="B67" s="529"/>
      <c r="C67" s="514"/>
      <c r="D67" s="514"/>
      <c r="E67" s="592"/>
      <c r="F67" s="514"/>
      <c r="G67" s="592"/>
      <c r="H67" s="592"/>
      <c r="I67" s="514"/>
      <c r="J67" s="532"/>
      <c r="K67" s="566"/>
      <c r="L67" s="577"/>
      <c r="M67" s="577"/>
      <c r="N67" s="577"/>
      <c r="O67" s="577"/>
      <c r="P67" s="640"/>
      <c r="Q67" s="640"/>
      <c r="R67" s="566"/>
      <c r="S67" s="535"/>
      <c r="T67" s="528"/>
      <c r="U67" s="528"/>
      <c r="V67" s="528"/>
      <c r="W67" s="528"/>
      <c r="X67" s="528"/>
      <c r="Y67" s="528"/>
      <c r="Z67" s="528"/>
      <c r="AA67" s="528"/>
      <c r="AB67" s="528"/>
      <c r="AC67" s="528"/>
      <c r="AD67" s="528"/>
      <c r="AE67" s="528"/>
      <c r="AF67" s="528"/>
      <c r="AG67" s="528"/>
      <c r="AH67" s="528"/>
      <c r="AI67" s="528"/>
      <c r="AJ67" s="528"/>
      <c r="AK67" s="528"/>
      <c r="AL67" s="528"/>
      <c r="AM67" s="528"/>
      <c r="AN67" s="528"/>
      <c r="AO67" s="528"/>
      <c r="AP67" s="528"/>
      <c r="AQ67" s="528"/>
      <c r="AR67" s="528"/>
      <c r="AS67" s="528"/>
      <c r="AT67" s="528"/>
      <c r="AU67" s="528"/>
      <c r="AV67" s="528"/>
      <c r="AW67" s="528"/>
      <c r="AX67" s="528"/>
      <c r="AY67" s="528"/>
      <c r="AZ67" s="528"/>
      <c r="BA67" s="528"/>
      <c r="BB67" s="528"/>
      <c r="BC67" s="528"/>
      <c r="BD67" s="528"/>
      <c r="BE67" s="528"/>
    </row>
    <row r="68" spans="1:57" s="508" customFormat="1" ht="12.95" customHeight="1" x14ac:dyDescent="0.2">
      <c r="B68" s="578"/>
      <c r="C68" s="579"/>
      <c r="D68" s="579"/>
      <c r="E68" s="605"/>
      <c r="F68" s="579"/>
      <c r="G68" s="630"/>
      <c r="H68" s="630"/>
      <c r="I68" s="579"/>
      <c r="J68" s="580"/>
      <c r="K68" s="581"/>
      <c r="L68" s="581"/>
      <c r="M68" s="581"/>
      <c r="N68" s="581"/>
      <c r="O68" s="581"/>
      <c r="P68" s="641"/>
      <c r="Q68" s="641"/>
      <c r="R68" s="581"/>
      <c r="S68" s="582"/>
    </row>
    <row r="69" spans="1:57" s="508" customFormat="1" ht="13.5" customHeight="1" x14ac:dyDescent="0.2">
      <c r="E69" s="590"/>
      <c r="G69" s="590"/>
      <c r="H69" s="590"/>
      <c r="P69" s="590"/>
      <c r="Q69" s="590"/>
    </row>
    <row r="70" spans="1:57" s="508" customFormat="1" ht="13.5" customHeight="1" x14ac:dyDescent="0.2">
      <c r="E70" s="590"/>
      <c r="G70" s="590"/>
      <c r="H70" s="590"/>
      <c r="P70" s="590"/>
      <c r="Q70" s="590"/>
    </row>
    <row r="71" spans="1:57" s="508" customFormat="1" ht="13.5" customHeight="1" x14ac:dyDescent="0.2">
      <c r="E71" s="590"/>
      <c r="G71" s="590"/>
      <c r="H71" s="590"/>
      <c r="P71" s="590"/>
      <c r="Q71" s="590"/>
    </row>
    <row r="72" spans="1:57" s="508" customFormat="1" ht="13.5" customHeight="1" x14ac:dyDescent="0.2">
      <c r="E72" s="590"/>
      <c r="G72" s="590"/>
      <c r="H72" s="590"/>
      <c r="P72" s="590"/>
      <c r="Q72" s="590"/>
    </row>
    <row r="73" spans="1:57" s="508" customFormat="1" ht="13.5" customHeight="1" x14ac:dyDescent="0.2">
      <c r="E73" s="590"/>
      <c r="G73" s="590"/>
      <c r="H73" s="590"/>
      <c r="P73" s="590"/>
      <c r="Q73" s="590"/>
    </row>
    <row r="74" spans="1:57" s="508" customFormat="1" ht="13.5" customHeight="1" x14ac:dyDescent="0.2">
      <c r="D74" s="585" t="s">
        <v>388</v>
      </c>
      <c r="E74" s="680"/>
      <c r="F74" s="585"/>
      <c r="G74" s="681"/>
      <c r="H74" s="684">
        <f>H63/H40-1</f>
        <v>0.34614877642611064</v>
      </c>
      <c r="P74" s="642"/>
      <c r="Q74" s="642"/>
      <c r="U74" s="583" t="s">
        <v>11</v>
      </c>
    </row>
    <row r="75" spans="1:57" s="508" customFormat="1" ht="13.5" customHeight="1" x14ac:dyDescent="0.2">
      <c r="D75" s="585" t="s">
        <v>387</v>
      </c>
      <c r="E75" s="585"/>
      <c r="F75" s="585"/>
      <c r="G75" s="680"/>
      <c r="H75" s="684">
        <f>(H63-H58)/H40-1</f>
        <v>0.2943056485813762</v>
      </c>
      <c r="P75" s="590"/>
      <c r="Q75" s="590"/>
      <c r="U75" s="583" t="s">
        <v>12</v>
      </c>
    </row>
    <row r="76" spans="1:57" s="508" customFormat="1" ht="13.5" customHeight="1" x14ac:dyDescent="0.2">
      <c r="P76" s="590"/>
      <c r="Q76" s="590"/>
      <c r="U76" s="583" t="s">
        <v>13</v>
      </c>
    </row>
    <row r="77" spans="1:57" s="508" customFormat="1" ht="13.5" customHeight="1" x14ac:dyDescent="0.2">
      <c r="E77" s="590"/>
      <c r="G77" s="590"/>
      <c r="H77" s="590"/>
      <c r="P77" s="590"/>
      <c r="Q77" s="590"/>
      <c r="U77" s="583" t="s">
        <v>14</v>
      </c>
    </row>
    <row r="78" spans="1:57" s="508" customFormat="1" ht="13.5" customHeight="1" x14ac:dyDescent="0.2">
      <c r="E78" s="590"/>
      <c r="G78" s="590"/>
      <c r="H78" s="590"/>
      <c r="P78" s="590"/>
      <c r="Q78" s="590"/>
      <c r="U78" s="583" t="s">
        <v>3</v>
      </c>
    </row>
    <row r="79" spans="1:57" s="508" customFormat="1" ht="13.5" customHeight="1" x14ac:dyDescent="0.2">
      <c r="E79" s="590"/>
      <c r="G79" s="590"/>
      <c r="H79" s="590"/>
      <c r="P79" s="590"/>
      <c r="Q79" s="590"/>
      <c r="U79" s="583" t="s">
        <v>4</v>
      </c>
    </row>
    <row r="80" spans="1:57" s="508" customFormat="1" ht="13.5" customHeight="1" x14ac:dyDescent="0.2">
      <c r="E80" s="590"/>
      <c r="G80" s="590"/>
      <c r="H80" s="590"/>
      <c r="P80" s="590"/>
      <c r="Q80" s="590"/>
      <c r="U80" s="583" t="s">
        <v>5</v>
      </c>
    </row>
    <row r="81" spans="5:21" s="508" customFormat="1" ht="13.5" customHeight="1" x14ac:dyDescent="0.2">
      <c r="E81" s="590"/>
      <c r="G81" s="590"/>
      <c r="H81" s="590"/>
      <c r="P81" s="590"/>
      <c r="Q81" s="590"/>
      <c r="U81" s="583" t="s">
        <v>6</v>
      </c>
    </row>
    <row r="82" spans="5:21" s="508" customFormat="1" ht="13.5" customHeight="1" x14ac:dyDescent="0.2">
      <c r="E82" s="590"/>
      <c r="G82" s="590"/>
      <c r="H82" s="590"/>
      <c r="P82" s="590"/>
      <c r="Q82" s="590"/>
      <c r="U82" s="583" t="s">
        <v>7</v>
      </c>
    </row>
    <row r="83" spans="5:21" s="508" customFormat="1" ht="13.5" customHeight="1" x14ac:dyDescent="0.2">
      <c r="E83" s="590"/>
      <c r="G83" s="590"/>
      <c r="H83" s="590"/>
      <c r="P83" s="590"/>
      <c r="Q83" s="590"/>
      <c r="U83" s="583" t="s">
        <v>8</v>
      </c>
    </row>
    <row r="84" spans="5:21" s="508" customFormat="1" ht="13.5" customHeight="1" x14ac:dyDescent="0.2">
      <c r="E84" s="590"/>
      <c r="G84" s="590"/>
      <c r="H84" s="590"/>
      <c r="P84" s="590"/>
      <c r="Q84" s="590"/>
      <c r="U84" s="583" t="s">
        <v>9</v>
      </c>
    </row>
    <row r="85" spans="5:21" s="508" customFormat="1" ht="13.5" customHeight="1" x14ac:dyDescent="0.2">
      <c r="E85" s="590"/>
      <c r="G85" s="590"/>
      <c r="H85" s="590"/>
      <c r="P85" s="590"/>
      <c r="Q85" s="590"/>
      <c r="U85" s="584" t="s">
        <v>68</v>
      </c>
    </row>
    <row r="86" spans="5:21" s="508" customFormat="1" ht="13.5" customHeight="1" x14ac:dyDescent="0.2">
      <c r="E86" s="590"/>
      <c r="G86" s="590"/>
      <c r="H86" s="590"/>
      <c r="P86" s="590"/>
      <c r="Q86" s="590"/>
      <c r="U86" s="584" t="s">
        <v>69</v>
      </c>
    </row>
    <row r="87" spans="5:21" s="508" customFormat="1" ht="13.5" customHeight="1" x14ac:dyDescent="0.2">
      <c r="E87" s="590"/>
      <c r="G87" s="590"/>
      <c r="H87" s="590"/>
      <c r="P87" s="590"/>
      <c r="Q87" s="590"/>
      <c r="U87" s="584" t="s">
        <v>70</v>
      </c>
    </row>
    <row r="88" spans="5:21" s="508" customFormat="1" ht="13.5" customHeight="1" x14ac:dyDescent="0.2">
      <c r="E88" s="590"/>
      <c r="G88" s="590"/>
      <c r="H88" s="590"/>
      <c r="P88" s="590"/>
      <c r="Q88" s="590"/>
      <c r="U88" s="583" t="s">
        <v>314</v>
      </c>
    </row>
    <row r="89" spans="5:21" s="508" customFormat="1" ht="13.5" customHeight="1" x14ac:dyDescent="0.2">
      <c r="E89" s="590"/>
      <c r="G89" s="590"/>
      <c r="H89" s="590"/>
      <c r="P89" s="590"/>
      <c r="Q89" s="590"/>
      <c r="U89" s="583" t="s">
        <v>315</v>
      </c>
    </row>
    <row r="90" spans="5:21" s="508" customFormat="1" ht="13.5" customHeight="1" x14ac:dyDescent="0.2">
      <c r="E90" s="590"/>
      <c r="G90" s="590"/>
      <c r="H90" s="590"/>
      <c r="P90" s="590"/>
      <c r="Q90" s="590"/>
      <c r="U90" s="583" t="s">
        <v>316</v>
      </c>
    </row>
    <row r="91" spans="5:21" s="508" customFormat="1" ht="13.5" customHeight="1" x14ac:dyDescent="0.2">
      <c r="E91" s="590"/>
      <c r="G91" s="590"/>
      <c r="H91" s="590"/>
      <c r="P91" s="590"/>
      <c r="Q91" s="590"/>
      <c r="U91" s="583" t="s">
        <v>317</v>
      </c>
    </row>
    <row r="92" spans="5:21" s="508" customFormat="1" ht="13.5" customHeight="1" x14ac:dyDescent="0.2">
      <c r="E92" s="590"/>
      <c r="G92" s="590"/>
      <c r="H92" s="590"/>
      <c r="P92" s="590"/>
      <c r="Q92" s="590"/>
      <c r="U92" s="583" t="s">
        <v>318</v>
      </c>
    </row>
    <row r="93" spans="5:21" s="508" customFormat="1" ht="13.5" customHeight="1" x14ac:dyDescent="0.2">
      <c r="E93" s="590"/>
      <c r="G93" s="590"/>
      <c r="H93" s="590"/>
      <c r="P93" s="590"/>
      <c r="Q93" s="590"/>
      <c r="U93" s="584" t="s">
        <v>19</v>
      </c>
    </row>
    <row r="94" spans="5:21" s="508" customFormat="1" ht="13.5" customHeight="1" x14ac:dyDescent="0.2">
      <c r="E94" s="590"/>
      <c r="G94" s="590"/>
      <c r="H94" s="590"/>
      <c r="P94" s="590"/>
      <c r="Q94" s="590"/>
      <c r="U94" s="584" t="s">
        <v>20</v>
      </c>
    </row>
    <row r="95" spans="5:21" s="508" customFormat="1" ht="13.5" customHeight="1" x14ac:dyDescent="0.2">
      <c r="E95" s="590"/>
      <c r="G95" s="590"/>
      <c r="H95" s="590"/>
      <c r="P95" s="590"/>
      <c r="Q95" s="590"/>
      <c r="U95" s="584" t="s">
        <v>67</v>
      </c>
    </row>
    <row r="96" spans="5:21" s="508" customFormat="1" ht="13.5" customHeight="1" x14ac:dyDescent="0.2">
      <c r="E96" s="590"/>
      <c r="G96" s="590"/>
      <c r="H96" s="590"/>
      <c r="P96" s="590"/>
      <c r="Q96" s="590"/>
      <c r="U96" s="584" t="s">
        <v>63</v>
      </c>
    </row>
    <row r="97" spans="5:23" s="508" customFormat="1" ht="13.5" customHeight="1" x14ac:dyDescent="0.2">
      <c r="E97" s="590"/>
      <c r="G97" s="590"/>
      <c r="H97" s="590"/>
      <c r="P97" s="590"/>
      <c r="Q97" s="590"/>
      <c r="U97" s="584" t="s">
        <v>64</v>
      </c>
    </row>
    <row r="98" spans="5:23" s="508" customFormat="1" ht="13.5" customHeight="1" x14ac:dyDescent="0.2">
      <c r="E98" s="590"/>
      <c r="G98" s="590"/>
      <c r="H98" s="590"/>
      <c r="P98" s="590"/>
      <c r="Q98" s="590"/>
      <c r="U98" s="584" t="s">
        <v>65</v>
      </c>
    </row>
    <row r="99" spans="5:23" s="508" customFormat="1" ht="13.5" customHeight="1" x14ac:dyDescent="0.2">
      <c r="E99" s="590"/>
      <c r="G99" s="590"/>
      <c r="H99" s="590"/>
      <c r="P99" s="590"/>
      <c r="Q99" s="590"/>
      <c r="U99" s="584" t="s">
        <v>66</v>
      </c>
    </row>
    <row r="100" spans="5:23" s="508" customFormat="1" ht="13.5" customHeight="1" x14ac:dyDescent="0.2">
      <c r="E100" s="590"/>
      <c r="G100" s="590"/>
      <c r="H100" s="590"/>
      <c r="P100" s="590"/>
      <c r="Q100" s="590"/>
      <c r="U100" s="584">
        <v>1</v>
      </c>
      <c r="W100" s="585"/>
    </row>
    <row r="101" spans="5:23" s="508" customFormat="1" ht="13.5" customHeight="1" x14ac:dyDescent="0.2">
      <c r="E101" s="590"/>
      <c r="G101" s="590"/>
      <c r="H101" s="590"/>
      <c r="P101" s="590"/>
      <c r="Q101" s="590"/>
      <c r="U101" s="584">
        <v>2</v>
      </c>
      <c r="W101" s="585"/>
    </row>
    <row r="102" spans="5:23" s="508" customFormat="1" ht="13.5" customHeight="1" x14ac:dyDescent="0.2">
      <c r="E102" s="590"/>
      <c r="G102" s="590"/>
      <c r="H102" s="590"/>
      <c r="P102" s="590"/>
      <c r="Q102" s="590"/>
      <c r="U102" s="584">
        <v>3</v>
      </c>
      <c r="W102" s="585"/>
    </row>
    <row r="103" spans="5:23" s="508" customFormat="1" ht="13.5" customHeight="1" x14ac:dyDescent="0.2">
      <c r="E103" s="590"/>
      <c r="G103" s="590"/>
      <c r="H103" s="590"/>
      <c r="P103" s="590"/>
      <c r="Q103" s="590"/>
      <c r="U103" s="584">
        <v>4</v>
      </c>
      <c r="W103" s="585"/>
    </row>
    <row r="104" spans="5:23" s="508" customFormat="1" ht="13.5" customHeight="1" x14ac:dyDescent="0.2">
      <c r="E104" s="590"/>
      <c r="G104" s="590"/>
      <c r="H104" s="590"/>
      <c r="P104" s="590"/>
      <c r="Q104" s="590"/>
      <c r="U104" s="584">
        <v>5</v>
      </c>
      <c r="W104" s="585"/>
    </row>
    <row r="105" spans="5:23" s="508" customFormat="1" ht="13.5" customHeight="1" x14ac:dyDescent="0.2">
      <c r="E105" s="590"/>
      <c r="G105" s="590"/>
      <c r="H105" s="590"/>
      <c r="P105" s="590"/>
      <c r="Q105" s="590"/>
      <c r="U105" s="584">
        <v>6</v>
      </c>
      <c r="W105" s="585"/>
    </row>
    <row r="106" spans="5:23" s="508" customFormat="1" ht="13.5" customHeight="1" x14ac:dyDescent="0.2">
      <c r="E106" s="590"/>
      <c r="G106" s="590"/>
      <c r="H106" s="590"/>
      <c r="P106" s="590"/>
      <c r="Q106" s="590"/>
      <c r="U106" s="584">
        <v>7</v>
      </c>
      <c r="W106" s="585"/>
    </row>
    <row r="107" spans="5:23" s="508" customFormat="1" ht="13.5" customHeight="1" x14ac:dyDescent="0.2">
      <c r="E107" s="590"/>
      <c r="G107" s="590"/>
      <c r="H107" s="590"/>
      <c r="P107" s="590"/>
      <c r="Q107" s="590"/>
      <c r="U107" s="584">
        <v>8</v>
      </c>
      <c r="W107" s="585"/>
    </row>
    <row r="108" spans="5:23" s="508" customFormat="1" ht="13.5" customHeight="1" x14ac:dyDescent="0.2">
      <c r="E108" s="590"/>
      <c r="G108" s="590"/>
      <c r="H108" s="590"/>
      <c r="P108" s="590"/>
      <c r="Q108" s="590"/>
      <c r="U108" s="584">
        <v>9</v>
      </c>
      <c r="W108" s="585"/>
    </row>
    <row r="109" spans="5:23" s="508" customFormat="1" ht="13.5" customHeight="1" x14ac:dyDescent="0.2">
      <c r="E109" s="590"/>
      <c r="G109" s="590"/>
      <c r="H109" s="590"/>
      <c r="P109" s="590"/>
      <c r="Q109" s="590"/>
      <c r="U109" s="584">
        <v>10</v>
      </c>
      <c r="W109" s="585"/>
    </row>
    <row r="110" spans="5:23" s="508" customFormat="1" ht="13.5" customHeight="1" x14ac:dyDescent="0.2">
      <c r="E110" s="590"/>
      <c r="G110" s="590"/>
      <c r="H110" s="590"/>
      <c r="P110" s="590"/>
      <c r="Q110" s="590"/>
      <c r="U110" s="584">
        <v>11</v>
      </c>
      <c r="W110" s="585"/>
    </row>
    <row r="111" spans="5:23" s="508" customFormat="1" ht="13.5" customHeight="1" x14ac:dyDescent="0.2">
      <c r="E111" s="590"/>
      <c r="G111" s="590"/>
      <c r="H111" s="590"/>
      <c r="P111" s="590"/>
      <c r="Q111" s="590"/>
      <c r="U111" s="584">
        <v>12</v>
      </c>
      <c r="W111" s="585"/>
    </row>
    <row r="112" spans="5:23" s="508" customFormat="1" ht="13.5" customHeight="1" x14ac:dyDescent="0.2">
      <c r="E112" s="590"/>
      <c r="G112" s="590"/>
      <c r="H112" s="590"/>
      <c r="P112" s="590"/>
      <c r="Q112" s="590"/>
      <c r="U112" s="584">
        <v>13</v>
      </c>
      <c r="W112" s="585"/>
    </row>
    <row r="113" spans="2:23" s="508" customFormat="1" ht="13.5" customHeight="1" x14ac:dyDescent="0.2">
      <c r="E113" s="590"/>
      <c r="G113" s="590"/>
      <c r="H113" s="590"/>
      <c r="P113" s="590"/>
      <c r="Q113" s="590"/>
      <c r="U113" s="584">
        <v>14</v>
      </c>
      <c r="W113" s="585"/>
    </row>
    <row r="114" spans="2:23" s="508" customFormat="1" ht="13.5" customHeight="1" x14ac:dyDescent="0.2">
      <c r="E114" s="590"/>
      <c r="G114" s="590"/>
      <c r="H114" s="590"/>
      <c r="P114" s="590"/>
      <c r="Q114" s="590"/>
      <c r="U114" s="584">
        <v>15</v>
      </c>
      <c r="W114" s="585"/>
    </row>
    <row r="115" spans="2:23" s="508" customFormat="1" ht="13.5" customHeight="1" x14ac:dyDescent="0.2">
      <c r="E115" s="590"/>
      <c r="G115" s="590"/>
      <c r="H115" s="590"/>
      <c r="P115" s="590"/>
      <c r="Q115" s="590"/>
      <c r="U115" s="584">
        <v>16</v>
      </c>
      <c r="W115" s="585"/>
    </row>
    <row r="116" spans="2:23" s="508" customFormat="1" ht="13.5" customHeight="1" x14ac:dyDescent="0.2">
      <c r="E116" s="590"/>
      <c r="G116" s="590"/>
      <c r="H116" s="590"/>
      <c r="P116" s="590"/>
      <c r="Q116" s="590"/>
      <c r="U116" s="586"/>
    </row>
    <row r="117" spans="2:23" s="508" customFormat="1" ht="13.5" customHeight="1" x14ac:dyDescent="0.2">
      <c r="E117" s="590"/>
      <c r="G117" s="590"/>
      <c r="H117" s="590"/>
      <c r="P117" s="590"/>
      <c r="Q117" s="590"/>
      <c r="U117" s="586"/>
    </row>
    <row r="118" spans="2:23" s="508" customFormat="1" ht="13.5" customHeight="1" x14ac:dyDescent="0.2">
      <c r="E118" s="590"/>
      <c r="G118" s="590"/>
      <c r="H118" s="590"/>
      <c r="P118" s="590"/>
      <c r="Q118" s="590"/>
    </row>
    <row r="119" spans="2:23" ht="13.5" customHeight="1" x14ac:dyDescent="0.2">
      <c r="B119" s="508"/>
      <c r="C119" s="508"/>
      <c r="D119" s="508"/>
      <c r="E119" s="590"/>
      <c r="F119" s="508"/>
      <c r="G119" s="590"/>
      <c r="H119" s="590"/>
      <c r="I119" s="508"/>
      <c r="J119" s="508"/>
      <c r="K119" s="508"/>
      <c r="L119" s="508"/>
      <c r="M119" s="508"/>
      <c r="N119" s="508"/>
      <c r="O119" s="508"/>
      <c r="P119" s="590"/>
      <c r="Q119" s="590"/>
      <c r="R119" s="508"/>
      <c r="S119" s="508"/>
    </row>
  </sheetData>
  <sheetProtection algorithmName="SHA-512" hashValue="SujOKR5n/OxX85mtUQqxlQcQeHTSWdBrPGdZJOvy2iAv/V97cEKak3fleHhIY0rT3Hk3tyG96GPs56VFgdUctQ==" saltValue="Brbf9FHca3gGDGGn5lzo0A==" spinCount="100000" sheet="1" objects="1" scenarios="1"/>
  <phoneticPr fontId="0" type="noConversion"/>
  <dataValidations count="4">
    <dataValidation type="list" allowBlank="1" showInputMessage="1" showErrorMessage="1" sqref="F55">
      <formula1>"1,2,3"</formula1>
    </dataValidation>
    <dataValidation type="list" allowBlank="1" showInputMessage="1" showErrorMessage="1" sqref="G20">
      <formula1>$U$70:$U$115</formula1>
    </dataValidation>
    <dataValidation type="list" allowBlank="1" showInputMessage="1" showErrorMessage="1" sqref="E55">
      <formula1>"1,2,3,4"</formula1>
    </dataValidation>
    <dataValidation type="list" allowBlank="1" showInputMessage="1" showErrorMessage="1" sqref="E31">
      <formula1>"ja,nee"</formula1>
    </dataValidation>
  </dataValidations>
  <printOptions gridLines="1"/>
  <pageMargins left="0.74803149606299213" right="0.74803149606299213" top="0.98425196850393704" bottom="0.98425196850393704" header="0.51181102362204722" footer="0.51181102362204722"/>
  <pageSetup paperSize="9" scale="60"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N114"/>
  <sheetViews>
    <sheetView zoomScale="85" zoomScaleNormal="85" workbookViewId="0">
      <selection activeCell="B2" sqref="B2"/>
    </sheetView>
  </sheetViews>
  <sheetFormatPr defaultColWidth="9.140625" defaultRowHeight="13.5" customHeight="1" x14ac:dyDescent="0.25"/>
  <cols>
    <col min="1" max="1" width="3.7109375" style="3" customWidth="1"/>
    <col min="2" max="3" width="2.7109375" style="3" customWidth="1"/>
    <col min="4" max="4" width="35.7109375" style="3" customWidth="1"/>
    <col min="5" max="6" width="12.85546875" style="3" customWidth="1"/>
    <col min="7" max="7" width="14.85546875" style="3" customWidth="1"/>
    <col min="8" max="10" width="12.85546875" style="3" customWidth="1"/>
    <col min="11" max="11" width="2.5703125" style="100" customWidth="1"/>
    <col min="12" max="12" width="2.28515625" style="3" customWidth="1"/>
    <col min="13" max="16384" width="9.140625" style="3"/>
  </cols>
  <sheetData>
    <row r="2" spans="2:13" ht="13.5" customHeight="1" x14ac:dyDescent="0.25">
      <c r="B2" s="38"/>
      <c r="C2" s="39"/>
      <c r="D2" s="39"/>
      <c r="E2" s="39"/>
      <c r="F2" s="39"/>
      <c r="G2" s="39"/>
      <c r="H2" s="39"/>
      <c r="I2" s="39"/>
      <c r="J2" s="39"/>
      <c r="K2" s="96"/>
      <c r="L2" s="40"/>
    </row>
    <row r="3" spans="2:13" ht="13.5" customHeight="1" x14ac:dyDescent="0.25">
      <c r="B3" s="41"/>
      <c r="C3" s="20"/>
      <c r="D3" s="20"/>
      <c r="E3" s="20"/>
      <c r="F3" s="20"/>
      <c r="G3" s="20"/>
      <c r="H3" s="20"/>
      <c r="I3" s="20"/>
      <c r="J3" s="20"/>
      <c r="K3" s="97"/>
      <c r="L3" s="27"/>
    </row>
    <row r="4" spans="2:13" s="66" customFormat="1" ht="18" customHeight="1" x14ac:dyDescent="0.3">
      <c r="B4" s="63"/>
      <c r="C4" s="64" t="s">
        <v>179</v>
      </c>
      <c r="D4" s="64"/>
      <c r="E4" s="64"/>
      <c r="F4" s="64"/>
      <c r="G4" s="260" t="str">
        <f>tabellen!B2</f>
        <v>2018/2019</v>
      </c>
      <c r="H4" s="254"/>
      <c r="I4" s="64"/>
      <c r="J4" s="64"/>
      <c r="K4" s="98"/>
      <c r="L4" s="65"/>
    </row>
    <row r="5" spans="2:13" ht="13.5" customHeight="1" x14ac:dyDescent="0.25">
      <c r="B5" s="41"/>
      <c r="C5" s="20"/>
      <c r="D5" s="20"/>
      <c r="E5" s="20"/>
      <c r="F5" s="20"/>
      <c r="G5" s="20"/>
      <c r="H5" s="20"/>
      <c r="I5" s="20"/>
      <c r="J5" s="20"/>
      <c r="K5" s="97"/>
      <c r="L5" s="27"/>
    </row>
    <row r="6" spans="2:13" ht="13.5" customHeight="1" x14ac:dyDescent="0.25">
      <c r="B6" s="41"/>
      <c r="C6" s="20"/>
      <c r="D6" s="20"/>
      <c r="E6" s="20"/>
      <c r="F6" s="20"/>
      <c r="G6" s="20"/>
      <c r="H6" s="20"/>
      <c r="I6" s="20"/>
      <c r="J6" s="20"/>
      <c r="K6" s="97"/>
      <c r="L6" s="27"/>
    </row>
    <row r="7" spans="2:13" ht="13.5" customHeight="1" x14ac:dyDescent="0.25">
      <c r="B7" s="41"/>
      <c r="C7" s="133"/>
      <c r="D7" s="109"/>
      <c r="E7" s="109"/>
      <c r="F7" s="109"/>
      <c r="G7" s="109"/>
      <c r="H7" s="109"/>
      <c r="I7" s="109"/>
      <c r="J7" s="109"/>
      <c r="K7" s="134"/>
      <c r="L7" s="27"/>
    </row>
    <row r="8" spans="2:13" ht="13.5" customHeight="1" x14ac:dyDescent="0.25">
      <c r="B8" s="41"/>
      <c r="C8" s="135"/>
      <c r="D8" s="136" t="s">
        <v>184</v>
      </c>
      <c r="E8" s="115"/>
      <c r="F8" s="115"/>
      <c r="G8" s="115"/>
      <c r="H8" s="115"/>
      <c r="I8" s="115"/>
      <c r="J8" s="115"/>
      <c r="K8" s="137"/>
      <c r="L8" s="27"/>
    </row>
    <row r="9" spans="2:13" ht="13.5" customHeight="1" x14ac:dyDescent="0.25">
      <c r="B9" s="41"/>
      <c r="C9" s="135"/>
      <c r="D9" s="115"/>
      <c r="E9" s="115"/>
      <c r="F9" s="115"/>
      <c r="G9" s="115"/>
      <c r="H9" s="115"/>
      <c r="I9" s="115"/>
      <c r="J9" s="115"/>
      <c r="K9" s="137"/>
      <c r="L9" s="27"/>
    </row>
    <row r="10" spans="2:13" ht="13.5" customHeight="1" x14ac:dyDescent="0.25">
      <c r="B10" s="41"/>
      <c r="C10" s="135"/>
      <c r="D10" s="115" t="s">
        <v>92</v>
      </c>
      <c r="E10" s="115"/>
      <c r="F10" s="115"/>
      <c r="G10" s="115"/>
      <c r="H10" s="123" t="s">
        <v>93</v>
      </c>
      <c r="I10" s="138"/>
      <c r="J10" s="139"/>
      <c r="K10" s="137"/>
      <c r="L10" s="27"/>
    </row>
    <row r="11" spans="2:13" ht="13.5" customHeight="1" x14ac:dyDescent="0.25">
      <c r="B11" s="41"/>
      <c r="C11" s="135"/>
      <c r="D11" s="115"/>
      <c r="E11" s="115"/>
      <c r="F11" s="115"/>
      <c r="G11" s="140"/>
      <c r="H11" s="140"/>
      <c r="I11" s="139"/>
      <c r="J11" s="139"/>
      <c r="K11" s="137"/>
      <c r="L11" s="27"/>
    </row>
    <row r="12" spans="2:13" s="34" customFormat="1" ht="13.5" customHeight="1" x14ac:dyDescent="0.25">
      <c r="B12" s="43"/>
      <c r="C12" s="141"/>
      <c r="D12" s="142" t="s">
        <v>23</v>
      </c>
      <c r="E12" s="142"/>
      <c r="F12" s="142"/>
      <c r="G12" s="142"/>
      <c r="H12" s="142"/>
      <c r="I12" s="142"/>
      <c r="J12" s="142"/>
      <c r="K12" s="143"/>
      <c r="L12" s="30"/>
    </row>
    <row r="13" spans="2:13" ht="13.5" customHeight="1" x14ac:dyDescent="0.25">
      <c r="B13" s="41"/>
      <c r="C13" s="135"/>
      <c r="D13" s="114" t="s">
        <v>21</v>
      </c>
      <c r="E13" s="115"/>
      <c r="F13" s="115"/>
      <c r="G13" s="124"/>
      <c r="H13" s="118" t="s">
        <v>0</v>
      </c>
      <c r="I13" s="144"/>
      <c r="J13" s="115"/>
      <c r="K13" s="137"/>
      <c r="L13" s="27"/>
    </row>
    <row r="14" spans="2:13" ht="13.5" customHeight="1" x14ac:dyDescent="0.25">
      <c r="B14" s="41"/>
      <c r="C14" s="135"/>
      <c r="D14" s="115" t="s">
        <v>22</v>
      </c>
      <c r="E14" s="115"/>
      <c r="F14" s="115"/>
      <c r="G14" s="124"/>
      <c r="H14" s="118">
        <v>8</v>
      </c>
      <c r="I14" s="115"/>
      <c r="J14" s="115"/>
      <c r="K14" s="137"/>
      <c r="L14" s="27"/>
      <c r="M14" s="31"/>
    </row>
    <row r="15" spans="2:13" ht="13.5" customHeight="1" x14ac:dyDescent="0.25">
      <c r="B15" s="41"/>
      <c r="C15" s="135"/>
      <c r="D15" s="115" t="s">
        <v>24</v>
      </c>
      <c r="E15" s="115"/>
      <c r="F15" s="115"/>
      <c r="G15" s="145"/>
      <c r="H15" s="146" t="e">
        <f>VLOOKUP(H13,saltab2016,H14+1,FALSE)</f>
        <v>#N/A</v>
      </c>
      <c r="I15" s="115"/>
      <c r="J15" s="115"/>
      <c r="K15" s="137"/>
      <c r="L15" s="27"/>
      <c r="M15" s="31"/>
    </row>
    <row r="16" spans="2:13" ht="13.5" customHeight="1" x14ac:dyDescent="0.25">
      <c r="B16" s="41"/>
      <c r="C16" s="135"/>
      <c r="D16" s="115" t="s">
        <v>25</v>
      </c>
      <c r="E16" s="115"/>
      <c r="F16" s="115"/>
      <c r="G16" s="122"/>
      <c r="H16" s="121">
        <v>1</v>
      </c>
      <c r="I16" s="115"/>
      <c r="J16" s="115"/>
      <c r="K16" s="137"/>
      <c r="L16" s="27"/>
      <c r="M16" s="31"/>
    </row>
    <row r="17" spans="2:13" ht="13.5" customHeight="1" x14ac:dyDescent="0.25">
      <c r="B17" s="41"/>
      <c r="C17" s="135"/>
      <c r="D17" s="115" t="s">
        <v>26</v>
      </c>
      <c r="E17" s="115"/>
      <c r="F17" s="115"/>
      <c r="G17" s="147"/>
      <c r="H17" s="148" t="e">
        <f>+H15*H16</f>
        <v>#N/A</v>
      </c>
      <c r="I17" s="115"/>
      <c r="J17" s="115"/>
      <c r="K17" s="137"/>
      <c r="L17" s="27"/>
      <c r="M17" s="31"/>
    </row>
    <row r="18" spans="2:13" ht="13.5" customHeight="1" x14ac:dyDescent="0.25">
      <c r="B18" s="41"/>
      <c r="C18" s="149"/>
      <c r="D18" s="150"/>
      <c r="E18" s="150"/>
      <c r="F18" s="150"/>
      <c r="G18" s="151"/>
      <c r="H18" s="151"/>
      <c r="I18" s="150"/>
      <c r="J18" s="150"/>
      <c r="K18" s="152"/>
      <c r="L18" s="27"/>
      <c r="M18" s="31"/>
    </row>
    <row r="19" spans="2:13" ht="13.5" customHeight="1" x14ac:dyDescent="0.25">
      <c r="B19" s="41"/>
      <c r="C19" s="20"/>
      <c r="D19" s="20"/>
      <c r="E19" s="20"/>
      <c r="F19" s="20"/>
      <c r="G19" s="20"/>
      <c r="H19" s="20"/>
      <c r="I19" s="20"/>
      <c r="J19" s="20"/>
      <c r="K19" s="97"/>
      <c r="L19" s="27"/>
      <c r="M19" s="31"/>
    </row>
    <row r="20" spans="2:13" ht="13.5" customHeight="1" x14ac:dyDescent="0.25">
      <c r="B20" s="41"/>
      <c r="C20" s="133"/>
      <c r="D20" s="109"/>
      <c r="E20" s="109"/>
      <c r="F20" s="109"/>
      <c r="G20" s="109"/>
      <c r="H20" s="109"/>
      <c r="I20" s="109"/>
      <c r="J20" s="109"/>
      <c r="K20" s="134"/>
      <c r="L20" s="27"/>
      <c r="M20" s="31"/>
    </row>
    <row r="21" spans="2:13" s="34" customFormat="1" ht="13.5" customHeight="1" x14ac:dyDescent="0.25">
      <c r="B21" s="43"/>
      <c r="C21" s="141"/>
      <c r="D21" s="136" t="s">
        <v>96</v>
      </c>
      <c r="E21" s="136"/>
      <c r="F21" s="136"/>
      <c r="G21" s="153"/>
      <c r="H21" s="153" t="s">
        <v>97</v>
      </c>
      <c r="I21" s="153" t="s">
        <v>98</v>
      </c>
      <c r="J21" s="154"/>
      <c r="K21" s="155"/>
      <c r="L21" s="30"/>
      <c r="M21" s="36"/>
    </row>
    <row r="22" spans="2:13" ht="13.5" customHeight="1" x14ac:dyDescent="0.25">
      <c r="B22" s="41"/>
      <c r="C22" s="135"/>
      <c r="D22" s="156"/>
      <c r="E22" s="156"/>
      <c r="F22" s="156"/>
      <c r="G22" s="157"/>
      <c r="H22" s="157"/>
      <c r="I22" s="157"/>
      <c r="J22" s="127"/>
      <c r="K22" s="158"/>
      <c r="L22" s="27"/>
      <c r="M22" s="31"/>
    </row>
    <row r="23" spans="2:13" ht="13.5" customHeight="1" x14ac:dyDescent="0.25">
      <c r="B23" s="41"/>
      <c r="C23" s="135"/>
      <c r="D23" s="115" t="s">
        <v>95</v>
      </c>
      <c r="E23" s="115"/>
      <c r="F23" s="115"/>
      <c r="G23" s="124"/>
      <c r="H23" s="118" t="s">
        <v>94</v>
      </c>
      <c r="I23" s="157"/>
      <c r="J23" s="127"/>
      <c r="K23" s="158"/>
      <c r="L23" s="27"/>
      <c r="M23" s="31"/>
    </row>
    <row r="24" spans="2:13" ht="13.5" customHeight="1" x14ac:dyDescent="0.25">
      <c r="B24" s="41"/>
      <c r="C24" s="135"/>
      <c r="D24" s="156"/>
      <c r="E24" s="156"/>
      <c r="F24" s="156"/>
      <c r="G24" s="157"/>
      <c r="H24" s="157"/>
      <c r="I24" s="157"/>
      <c r="J24" s="127"/>
      <c r="K24" s="158"/>
      <c r="L24" s="27"/>
      <c r="M24" s="31"/>
    </row>
    <row r="25" spans="2:13" ht="13.5" customHeight="1" x14ac:dyDescent="0.25">
      <c r="B25" s="41"/>
      <c r="C25" s="135"/>
      <c r="D25" s="115" t="s">
        <v>99</v>
      </c>
      <c r="E25" s="115"/>
      <c r="F25" s="115"/>
      <c r="G25" s="127"/>
      <c r="H25" s="159">
        <f>ROUND(415*H16,0)</f>
        <v>415</v>
      </c>
      <c r="I25" s="160">
        <f>ROUND(233*H16,0)</f>
        <v>233</v>
      </c>
      <c r="J25" s="113"/>
      <c r="K25" s="158"/>
      <c r="L25" s="19"/>
      <c r="M25" s="31"/>
    </row>
    <row r="26" spans="2:13" ht="13.5" customHeight="1" x14ac:dyDescent="0.25">
      <c r="B26" s="41"/>
      <c r="C26" s="135"/>
      <c r="D26" s="115" t="s">
        <v>100</v>
      </c>
      <c r="E26" s="115"/>
      <c r="F26" s="115"/>
      <c r="G26" s="124"/>
      <c r="H26" s="118">
        <v>415</v>
      </c>
      <c r="I26" s="161">
        <v>233</v>
      </c>
      <c r="J26" s="113"/>
      <c r="K26" s="158"/>
      <c r="L26" s="19"/>
      <c r="M26" s="31"/>
    </row>
    <row r="27" spans="2:13" ht="13.5" customHeight="1" x14ac:dyDescent="0.25">
      <c r="B27" s="41"/>
      <c r="C27" s="135"/>
      <c r="D27" s="115" t="s">
        <v>101</v>
      </c>
      <c r="E27" s="115"/>
      <c r="F27" s="115"/>
      <c r="G27" s="162"/>
      <c r="H27" s="163">
        <f>+H26/H25</f>
        <v>1</v>
      </c>
      <c r="I27" s="163">
        <f>+I26/I25</f>
        <v>1</v>
      </c>
      <c r="J27" s="113"/>
      <c r="K27" s="158"/>
      <c r="L27" s="19"/>
      <c r="M27" s="31"/>
    </row>
    <row r="28" spans="2:13" ht="13.5" customHeight="1" x14ac:dyDescent="0.25">
      <c r="B28" s="41"/>
      <c r="C28" s="135"/>
      <c r="D28" s="115" t="s">
        <v>102</v>
      </c>
      <c r="E28" s="115"/>
      <c r="F28" s="115"/>
      <c r="G28" s="124"/>
      <c r="H28" s="118">
        <v>6</v>
      </c>
      <c r="I28" s="164" t="str">
        <f>IF(H28&lt;2.999,"moet minimaal 3 gehele maanden zijn"," ")</f>
        <v xml:space="preserve"> </v>
      </c>
      <c r="J28" s="113"/>
      <c r="K28" s="158"/>
      <c r="L28" s="19"/>
      <c r="M28" s="31"/>
    </row>
    <row r="29" spans="2:13" ht="13.5" customHeight="1" x14ac:dyDescent="0.25">
      <c r="B29" s="41"/>
      <c r="C29" s="135"/>
      <c r="D29" s="115"/>
      <c r="E29" s="115"/>
      <c r="F29" s="115"/>
      <c r="G29" s="127"/>
      <c r="H29" s="127"/>
      <c r="I29" s="127"/>
      <c r="J29" s="113"/>
      <c r="K29" s="165"/>
      <c r="L29" s="19"/>
      <c r="M29" s="31"/>
    </row>
    <row r="30" spans="2:13" ht="13.5" customHeight="1" x14ac:dyDescent="0.25">
      <c r="B30" s="41"/>
      <c r="C30" s="135"/>
      <c r="D30" s="115" t="s">
        <v>159</v>
      </c>
      <c r="E30" s="115"/>
      <c r="F30" s="115"/>
      <c r="G30" s="166"/>
      <c r="H30" s="166">
        <f>ROUND(IF(H23="ja",+(I26/I25),H26/H25)*(3/H28)*H16,4)</f>
        <v>0.5</v>
      </c>
      <c r="I30" s="127"/>
      <c r="J30" s="167"/>
      <c r="K30" s="168"/>
      <c r="L30" s="19"/>
      <c r="M30" s="31"/>
    </row>
    <row r="31" spans="2:13" ht="13.5" customHeight="1" x14ac:dyDescent="0.25">
      <c r="B31" s="41"/>
      <c r="C31" s="135"/>
      <c r="D31" s="115" t="s">
        <v>103</v>
      </c>
      <c r="E31" s="115"/>
      <c r="F31" s="115"/>
      <c r="G31" s="162"/>
      <c r="H31" s="162">
        <f>ROUND(+IF(H23="ja",I26,H26)/ROUND((IF(H23="ja",233,415)*H16),0)*1.35/H28,4)</f>
        <v>0.22500000000000001</v>
      </c>
      <c r="I31" s="127"/>
      <c r="J31" s="169" t="e">
        <f>+H31*H17</f>
        <v>#N/A</v>
      </c>
      <c r="K31" s="170" t="e">
        <f>+H30*0.45*H15</f>
        <v>#N/A</v>
      </c>
      <c r="L31" s="27"/>
    </row>
    <row r="32" spans="2:13" ht="13.5" customHeight="1" x14ac:dyDescent="0.25">
      <c r="B32" s="41"/>
      <c r="C32" s="135"/>
      <c r="D32" s="115"/>
      <c r="E32" s="115"/>
      <c r="F32" s="115"/>
      <c r="G32" s="162"/>
      <c r="H32" s="162"/>
      <c r="I32" s="127"/>
      <c r="J32" s="167"/>
      <c r="K32" s="170"/>
      <c r="L32" s="27"/>
    </row>
    <row r="33" spans="2:12" ht="13.5" customHeight="1" x14ac:dyDescent="0.25">
      <c r="B33" s="41"/>
      <c r="C33" s="135"/>
      <c r="D33" s="115" t="s">
        <v>160</v>
      </c>
      <c r="E33" s="115"/>
      <c r="F33" s="115"/>
      <c r="G33" s="162"/>
      <c r="H33" s="162">
        <f>ROUND((3*I27/H28),4)-H31</f>
        <v>0.27500000000000002</v>
      </c>
      <c r="I33" s="127"/>
      <c r="J33" s="146" t="e">
        <f>+H33*H17</f>
        <v>#N/A</v>
      </c>
      <c r="K33" s="171" t="e">
        <f>+H30*0.55*H15</f>
        <v>#N/A</v>
      </c>
      <c r="L33" s="27"/>
    </row>
    <row r="34" spans="2:12" ht="13.5" customHeight="1" x14ac:dyDescent="0.25">
      <c r="B34" s="41"/>
      <c r="C34" s="135"/>
      <c r="D34" s="115" t="s">
        <v>104</v>
      </c>
      <c r="E34" s="115"/>
      <c r="F34" s="115"/>
      <c r="G34" s="162"/>
      <c r="H34" s="162">
        <f>1-ROUND(1/0.45*H31,4)</f>
        <v>0.5</v>
      </c>
      <c r="I34" s="127"/>
      <c r="J34" s="146" t="e">
        <f>+H34*H17</f>
        <v>#N/A</v>
      </c>
      <c r="K34" s="172"/>
      <c r="L34" s="27"/>
    </row>
    <row r="35" spans="2:12" s="34" customFormat="1" ht="13.5" customHeight="1" x14ac:dyDescent="0.25">
      <c r="B35" s="43"/>
      <c r="C35" s="141"/>
      <c r="D35" s="142" t="s">
        <v>105</v>
      </c>
      <c r="E35" s="142"/>
      <c r="F35" s="142"/>
      <c r="G35" s="173"/>
      <c r="H35" s="173">
        <f>+H33+H34</f>
        <v>0.77500000000000002</v>
      </c>
      <c r="I35" s="154"/>
      <c r="J35" s="174" t="e">
        <f>SUM(J33:J34)</f>
        <v>#N/A</v>
      </c>
      <c r="K35" s="175"/>
      <c r="L35" s="30"/>
    </row>
    <row r="36" spans="2:12" ht="13.5" customHeight="1" x14ac:dyDescent="0.25">
      <c r="B36" s="41"/>
      <c r="C36" s="135"/>
      <c r="D36" s="176" t="s">
        <v>106</v>
      </c>
      <c r="E36" s="176"/>
      <c r="F36" s="176"/>
      <c r="G36" s="177"/>
      <c r="H36" s="177"/>
      <c r="I36" s="177"/>
      <c r="J36" s="178" t="e">
        <f>+J33*H28</f>
        <v>#N/A</v>
      </c>
      <c r="K36" s="172"/>
      <c r="L36" s="27"/>
    </row>
    <row r="37" spans="2:12" ht="13.5" customHeight="1" x14ac:dyDescent="0.25">
      <c r="B37" s="41"/>
      <c r="C37" s="135"/>
      <c r="D37" s="115"/>
      <c r="E37" s="115"/>
      <c r="F37" s="115"/>
      <c r="G37" s="127"/>
      <c r="H37" s="127"/>
      <c r="I37" s="127"/>
      <c r="J37" s="145"/>
      <c r="K37" s="172"/>
      <c r="L37" s="27"/>
    </row>
    <row r="38" spans="2:12" s="34" customFormat="1" ht="13.5" customHeight="1" x14ac:dyDescent="0.25">
      <c r="B38" s="43"/>
      <c r="C38" s="141"/>
      <c r="D38" s="142" t="s">
        <v>177</v>
      </c>
      <c r="E38" s="142"/>
      <c r="F38" s="142"/>
      <c r="G38" s="179"/>
      <c r="H38" s="275">
        <v>0.59</v>
      </c>
      <c r="I38" s="154"/>
      <c r="J38" s="174" t="e">
        <f>+J36*(1+H38)</f>
        <v>#N/A</v>
      </c>
      <c r="K38" s="143"/>
      <c r="L38" s="30"/>
    </row>
    <row r="39" spans="2:12" ht="13.5" customHeight="1" x14ac:dyDescent="0.25">
      <c r="B39" s="41"/>
      <c r="C39" s="135"/>
      <c r="D39" s="180" t="s">
        <v>47</v>
      </c>
      <c r="E39" s="180"/>
      <c r="F39" s="180"/>
      <c r="G39" s="180"/>
      <c r="H39" s="180"/>
      <c r="I39" s="180"/>
      <c r="J39" s="181" t="e">
        <f>+J38/H$28</f>
        <v>#N/A</v>
      </c>
      <c r="K39" s="182"/>
      <c r="L39" s="27"/>
    </row>
    <row r="40" spans="2:12" ht="13.5" customHeight="1" x14ac:dyDescent="0.25">
      <c r="B40" s="41"/>
      <c r="C40" s="149"/>
      <c r="D40" s="150"/>
      <c r="E40" s="150"/>
      <c r="F40" s="150"/>
      <c r="G40" s="150"/>
      <c r="H40" s="150"/>
      <c r="I40" s="150"/>
      <c r="J40" s="183"/>
      <c r="K40" s="184"/>
      <c r="L40" s="27"/>
    </row>
    <row r="41" spans="2:12" ht="13.5" customHeight="1" x14ac:dyDescent="0.25">
      <c r="B41" s="41"/>
      <c r="C41" s="20"/>
      <c r="D41" s="20"/>
      <c r="E41" s="20"/>
      <c r="F41" s="20"/>
      <c r="G41" s="20"/>
      <c r="H41" s="20"/>
      <c r="I41" s="20"/>
      <c r="J41" s="44"/>
      <c r="K41" s="99"/>
      <c r="L41" s="27"/>
    </row>
    <row r="42" spans="2:12" ht="13.5" customHeight="1" x14ac:dyDescent="0.25">
      <c r="B42" s="41"/>
      <c r="C42" s="133"/>
      <c r="D42" s="185"/>
      <c r="E42" s="185"/>
      <c r="F42" s="185"/>
      <c r="G42" s="185"/>
      <c r="H42" s="185"/>
      <c r="I42" s="185"/>
      <c r="J42" s="186"/>
      <c r="K42" s="187"/>
      <c r="L42" s="27"/>
    </row>
    <row r="43" spans="2:12" ht="13.5" customHeight="1" x14ac:dyDescent="0.25">
      <c r="B43" s="41"/>
      <c r="C43" s="135"/>
      <c r="D43" s="126" t="s">
        <v>168</v>
      </c>
      <c r="E43" s="126"/>
      <c r="F43" s="126"/>
      <c r="G43" s="126"/>
      <c r="H43" s="126"/>
      <c r="I43" s="126"/>
      <c r="J43" s="188">
        <v>4.18</v>
      </c>
      <c r="K43" s="137"/>
      <c r="L43" s="27"/>
    </row>
    <row r="44" spans="2:12" ht="13.5" customHeight="1" x14ac:dyDescent="0.25">
      <c r="B44" s="41"/>
      <c r="C44" s="135"/>
      <c r="D44" s="126" t="s">
        <v>187</v>
      </c>
      <c r="E44" s="126"/>
      <c r="F44" s="126"/>
      <c r="G44" s="126"/>
      <c r="H44" s="126"/>
      <c r="I44" s="126"/>
      <c r="J44" s="126"/>
      <c r="K44" s="189"/>
      <c r="L44" s="27"/>
    </row>
    <row r="45" spans="2:12" ht="13.5" customHeight="1" x14ac:dyDescent="0.25">
      <c r="B45" s="41"/>
      <c r="C45" s="135"/>
      <c r="D45" s="126" t="s">
        <v>188</v>
      </c>
      <c r="E45" s="126"/>
      <c r="F45" s="126"/>
      <c r="G45" s="190"/>
      <c r="H45" s="191">
        <v>205</v>
      </c>
      <c r="I45" s="192" t="s">
        <v>158</v>
      </c>
      <c r="J45" s="192"/>
      <c r="K45" s="189"/>
      <c r="L45" s="27"/>
    </row>
    <row r="46" spans="2:12" ht="13.5" customHeight="1" x14ac:dyDescent="0.25">
      <c r="B46" s="41"/>
      <c r="C46" s="149"/>
      <c r="D46" s="193"/>
      <c r="E46" s="193"/>
      <c r="F46" s="193"/>
      <c r="G46" s="193"/>
      <c r="H46" s="193"/>
      <c r="I46" s="194"/>
      <c r="J46" s="194"/>
      <c r="K46" s="195"/>
      <c r="L46" s="27"/>
    </row>
    <row r="47" spans="2:12" ht="13.5" customHeight="1" x14ac:dyDescent="0.25">
      <c r="B47" s="41"/>
      <c r="C47" s="20"/>
      <c r="D47" s="20"/>
      <c r="E47" s="20"/>
      <c r="F47" s="20"/>
      <c r="G47" s="20"/>
      <c r="H47" s="20"/>
      <c r="I47" s="44"/>
      <c r="J47" s="20"/>
      <c r="K47" s="97"/>
      <c r="L47" s="27"/>
    </row>
    <row r="48" spans="2:12" ht="13.5" customHeight="1" x14ac:dyDescent="0.25">
      <c r="B48" s="41"/>
      <c r="C48" s="20"/>
      <c r="D48" s="20"/>
      <c r="E48" s="20"/>
      <c r="F48" s="20"/>
      <c r="G48" s="20"/>
      <c r="H48" s="20"/>
      <c r="I48" s="44"/>
      <c r="J48" s="20"/>
      <c r="K48" s="97"/>
      <c r="L48" s="27"/>
    </row>
    <row r="49" spans="1:12" ht="13.5" customHeight="1" x14ac:dyDescent="0.25">
      <c r="B49" s="41"/>
      <c r="C49" s="133"/>
      <c r="D49" s="109"/>
      <c r="E49" s="109"/>
      <c r="F49" s="109"/>
      <c r="G49" s="109"/>
      <c r="H49" s="109"/>
      <c r="I49" s="196"/>
      <c r="J49" s="109"/>
      <c r="K49" s="134"/>
      <c r="L49" s="27"/>
    </row>
    <row r="50" spans="1:12" s="34" customFormat="1" ht="13.5" customHeight="1" x14ac:dyDescent="0.25">
      <c r="A50" s="37"/>
      <c r="B50" s="45"/>
      <c r="C50" s="197"/>
      <c r="D50" s="136" t="s">
        <v>178</v>
      </c>
      <c r="E50" s="142"/>
      <c r="F50" s="142"/>
      <c r="G50" s="142"/>
      <c r="H50" s="142"/>
      <c r="I50" s="692"/>
      <c r="J50" s="693"/>
      <c r="K50" s="143"/>
      <c r="L50" s="30"/>
    </row>
    <row r="51" spans="1:12" ht="13.5" customHeight="1" x14ac:dyDescent="0.25">
      <c r="A51" s="35"/>
      <c r="B51" s="46"/>
      <c r="C51" s="198"/>
      <c r="D51" s="115"/>
      <c r="E51" s="115"/>
      <c r="F51" s="115"/>
      <c r="G51" s="115"/>
      <c r="H51" s="115"/>
      <c r="I51" s="200"/>
      <c r="J51" s="139"/>
      <c r="K51" s="137"/>
      <c r="L51" s="27"/>
    </row>
    <row r="52" spans="1:12" ht="13.5" customHeight="1" x14ac:dyDescent="0.25">
      <c r="B52" s="41"/>
      <c r="C52" s="135"/>
      <c r="D52" s="115" t="s">
        <v>107</v>
      </c>
      <c r="E52" s="115"/>
      <c r="F52" s="115"/>
      <c r="G52" s="115"/>
      <c r="H52" s="115"/>
      <c r="I52" s="199"/>
      <c r="J52" s="115"/>
      <c r="K52" s="137"/>
      <c r="L52" s="27"/>
    </row>
    <row r="53" spans="1:12" ht="13.5" customHeight="1" x14ac:dyDescent="0.25">
      <c r="B53" s="41"/>
      <c r="C53" s="135"/>
      <c r="D53" s="115" t="s">
        <v>108</v>
      </c>
      <c r="E53" s="115"/>
      <c r="F53" s="115"/>
      <c r="G53" s="201"/>
      <c r="H53" s="202">
        <v>600</v>
      </c>
      <c r="I53" s="203" t="s">
        <v>109</v>
      </c>
      <c r="J53" s="204"/>
      <c r="K53" s="137"/>
      <c r="L53" s="27"/>
    </row>
    <row r="54" spans="1:12" ht="13.5" customHeight="1" x14ac:dyDescent="0.25">
      <c r="B54" s="41"/>
      <c r="C54" s="135"/>
      <c r="D54" s="115" t="s">
        <v>110</v>
      </c>
      <c r="E54" s="115"/>
      <c r="F54" s="115"/>
      <c r="G54" s="205"/>
      <c r="H54" s="206">
        <v>0.73899999999999999</v>
      </c>
      <c r="I54" s="203" t="s">
        <v>109</v>
      </c>
      <c r="J54" s="204"/>
      <c r="K54" s="137"/>
      <c r="L54" s="27"/>
    </row>
    <row r="55" spans="1:12" ht="13.5" customHeight="1" x14ac:dyDescent="0.25">
      <c r="B55" s="41"/>
      <c r="C55" s="135"/>
      <c r="D55" s="115"/>
      <c r="E55" s="127"/>
      <c r="F55" s="127" t="s">
        <v>111</v>
      </c>
      <c r="G55" s="115"/>
      <c r="H55" s="127"/>
      <c r="I55" s="203"/>
      <c r="J55" s="204"/>
      <c r="K55" s="137"/>
      <c r="L55" s="27"/>
    </row>
    <row r="56" spans="1:12" ht="13.5" customHeight="1" x14ac:dyDescent="0.25">
      <c r="B56" s="41"/>
      <c r="C56" s="135"/>
      <c r="D56" s="115" t="s">
        <v>112</v>
      </c>
      <c r="E56" s="118">
        <v>20</v>
      </c>
      <c r="F56" s="118">
        <v>40</v>
      </c>
      <c r="G56" s="205"/>
      <c r="H56" s="207">
        <v>0.375</v>
      </c>
      <c r="I56" s="203" t="s">
        <v>113</v>
      </c>
      <c r="J56" s="204"/>
      <c r="K56" s="137"/>
      <c r="L56" s="27"/>
    </row>
    <row r="57" spans="1:12" ht="13.5" customHeight="1" x14ac:dyDescent="0.25">
      <c r="B57" s="41"/>
      <c r="C57" s="135"/>
      <c r="D57" s="115" t="s">
        <v>114</v>
      </c>
      <c r="E57" s="115"/>
      <c r="F57" s="115"/>
      <c r="G57" s="119"/>
      <c r="H57" s="208">
        <v>1.8</v>
      </c>
      <c r="I57" s="203" t="s">
        <v>186</v>
      </c>
      <c r="J57" s="204"/>
      <c r="K57" s="137"/>
      <c r="L57" s="27"/>
    </row>
    <row r="58" spans="1:12" ht="13.5" customHeight="1" x14ac:dyDescent="0.25">
      <c r="B58" s="41"/>
      <c r="C58" s="135"/>
      <c r="D58" s="115" t="s">
        <v>115</v>
      </c>
      <c r="E58" s="115"/>
      <c r="F58" s="115"/>
      <c r="G58" s="209"/>
      <c r="H58" s="210">
        <f>ROUND(H53*H54*H56*H57,0)</f>
        <v>299</v>
      </c>
      <c r="I58" s="203"/>
      <c r="J58" s="204"/>
      <c r="K58" s="137"/>
      <c r="L58" s="27"/>
    </row>
    <row r="59" spans="1:12" ht="13.5" customHeight="1" x14ac:dyDescent="0.25">
      <c r="B59" s="41"/>
      <c r="C59" s="135"/>
      <c r="D59" s="115" t="s">
        <v>116</v>
      </c>
      <c r="E59" s="115"/>
      <c r="F59" s="115"/>
      <c r="G59" s="205"/>
      <c r="H59" s="206">
        <v>1</v>
      </c>
      <c r="I59" s="203" t="s">
        <v>117</v>
      </c>
      <c r="J59" s="204"/>
      <c r="K59" s="137"/>
      <c r="L59" s="27"/>
    </row>
    <row r="60" spans="1:12" ht="13.5" customHeight="1" x14ac:dyDescent="0.25">
      <c r="B60" s="41"/>
      <c r="C60" s="135"/>
      <c r="D60" s="115" t="s">
        <v>118</v>
      </c>
      <c r="E60" s="115"/>
      <c r="F60" s="115"/>
      <c r="G60" s="209"/>
      <c r="H60" s="210">
        <f>ROUND(H58*H59/(F56-E56),0)</f>
        <v>15</v>
      </c>
      <c r="I60" s="203"/>
      <c r="J60" s="204"/>
      <c r="K60" s="137"/>
      <c r="L60" s="27"/>
    </row>
    <row r="61" spans="1:12" ht="13.5" customHeight="1" x14ac:dyDescent="0.25">
      <c r="B61" s="41"/>
      <c r="C61" s="135"/>
      <c r="D61" s="115" t="s">
        <v>119</v>
      </c>
      <c r="E61" s="115"/>
      <c r="F61" s="115"/>
      <c r="G61" s="211"/>
      <c r="H61" s="212">
        <v>7025</v>
      </c>
      <c r="I61" s="203" t="s">
        <v>117</v>
      </c>
      <c r="J61" s="204"/>
      <c r="K61" s="137"/>
      <c r="L61" s="27"/>
    </row>
    <row r="62" spans="1:12" s="34" customFormat="1" ht="13.5" customHeight="1" x14ac:dyDescent="0.25">
      <c r="B62" s="43"/>
      <c r="C62" s="141"/>
      <c r="D62" s="142" t="s">
        <v>120</v>
      </c>
      <c r="E62" s="142"/>
      <c r="F62" s="142"/>
      <c r="G62" s="213"/>
      <c r="H62" s="214">
        <f>+H60*H61</f>
        <v>105375</v>
      </c>
      <c r="I62" s="215" t="s">
        <v>185</v>
      </c>
      <c r="J62" s="216"/>
      <c r="K62" s="143"/>
      <c r="L62" s="30"/>
    </row>
    <row r="63" spans="1:12" ht="13.5" customHeight="1" x14ac:dyDescent="0.25">
      <c r="B63" s="41"/>
      <c r="C63" s="149"/>
      <c r="D63" s="150"/>
      <c r="E63" s="150"/>
      <c r="F63" s="150"/>
      <c r="G63" s="150"/>
      <c r="H63" s="150"/>
      <c r="I63" s="217"/>
      <c r="J63" s="150"/>
      <c r="K63" s="152"/>
      <c r="L63" s="27"/>
    </row>
    <row r="64" spans="1:12" ht="13.5" customHeight="1" x14ac:dyDescent="0.25">
      <c r="B64" s="41"/>
      <c r="C64" s="20"/>
      <c r="D64" s="20"/>
      <c r="E64" s="20"/>
      <c r="F64" s="20"/>
      <c r="G64" s="20"/>
      <c r="H64" s="20"/>
      <c r="I64" s="44"/>
      <c r="J64" s="20"/>
      <c r="K64" s="97"/>
      <c r="L64" s="27"/>
    </row>
    <row r="65" spans="2:14" ht="13.5" customHeight="1" x14ac:dyDescent="0.25">
      <c r="B65" s="41"/>
      <c r="C65" s="20"/>
      <c r="D65" s="20"/>
      <c r="E65" s="20"/>
      <c r="F65" s="20"/>
      <c r="G65" s="20"/>
      <c r="H65" s="20"/>
      <c r="I65" s="44"/>
      <c r="J65" s="20"/>
      <c r="K65" s="97"/>
      <c r="L65" s="27"/>
    </row>
    <row r="66" spans="2:14" ht="13.5" customHeight="1" x14ac:dyDescent="0.25">
      <c r="B66" s="47"/>
      <c r="C66" s="48"/>
      <c r="D66" s="48"/>
      <c r="E66" s="48"/>
      <c r="F66" s="48"/>
      <c r="G66" s="48"/>
      <c r="H66" s="48"/>
      <c r="I66" s="84"/>
      <c r="J66" s="48"/>
      <c r="K66" s="11" t="s">
        <v>176</v>
      </c>
      <c r="L66" s="49"/>
    </row>
    <row r="67" spans="2:14" ht="13.5" customHeight="1" x14ac:dyDescent="0.25">
      <c r="I67" s="85"/>
    </row>
    <row r="68" spans="2:14" ht="13.5" customHeight="1" x14ac:dyDescent="0.25">
      <c r="I68" s="85"/>
    </row>
    <row r="69" spans="2:14" ht="13.5" customHeight="1" x14ac:dyDescent="0.25">
      <c r="I69" s="85"/>
    </row>
    <row r="70" spans="2:14" ht="13.5" customHeight="1" x14ac:dyDescent="0.25">
      <c r="I70" s="85"/>
    </row>
    <row r="71" spans="2:14" ht="13.5" customHeight="1" x14ac:dyDescent="0.25">
      <c r="I71" s="85"/>
      <c r="N71" s="94" t="s">
        <v>67</v>
      </c>
    </row>
    <row r="72" spans="2:14" ht="13.5" customHeight="1" x14ac:dyDescent="0.25">
      <c r="I72" s="85"/>
      <c r="N72" s="94" t="s">
        <v>60</v>
      </c>
    </row>
    <row r="73" spans="2:14" ht="13.5" customHeight="1" x14ac:dyDescent="0.25">
      <c r="I73" s="85"/>
      <c r="N73" s="94" t="s">
        <v>61</v>
      </c>
    </row>
    <row r="74" spans="2:14" ht="13.5" customHeight="1" x14ac:dyDescent="0.25">
      <c r="I74" s="85"/>
      <c r="N74" s="94" t="s">
        <v>62</v>
      </c>
    </row>
    <row r="75" spans="2:14" ht="13.5" customHeight="1" x14ac:dyDescent="0.25">
      <c r="I75" s="85"/>
      <c r="N75" s="94" t="s">
        <v>63</v>
      </c>
    </row>
    <row r="76" spans="2:14" ht="13.5" customHeight="1" x14ac:dyDescent="0.25">
      <c r="I76" s="85"/>
      <c r="N76" s="94" t="s">
        <v>64</v>
      </c>
    </row>
    <row r="77" spans="2:14" ht="13.5" customHeight="1" x14ac:dyDescent="0.25">
      <c r="I77" s="85"/>
      <c r="N77" s="94" t="s">
        <v>65</v>
      </c>
    </row>
    <row r="78" spans="2:14" ht="13.5" customHeight="1" x14ac:dyDescent="0.25">
      <c r="I78" s="85"/>
      <c r="N78" s="94" t="s">
        <v>66</v>
      </c>
    </row>
    <row r="79" spans="2:14" ht="13.5" customHeight="1" x14ac:dyDescent="0.25">
      <c r="I79" s="85"/>
      <c r="N79" s="95" t="s">
        <v>3</v>
      </c>
    </row>
    <row r="80" spans="2:14" ht="13.5" customHeight="1" x14ac:dyDescent="0.25">
      <c r="I80" s="85"/>
      <c r="N80" s="95" t="s">
        <v>4</v>
      </c>
    </row>
    <row r="81" spans="6:14" ht="13.5" customHeight="1" x14ac:dyDescent="0.25">
      <c r="I81" s="85"/>
      <c r="N81" s="95" t="s">
        <v>5</v>
      </c>
    </row>
    <row r="82" spans="6:14" ht="13.5" customHeight="1" x14ac:dyDescent="0.25">
      <c r="I82" s="85"/>
      <c r="N82" s="95" t="s">
        <v>6</v>
      </c>
    </row>
    <row r="83" spans="6:14" ht="13.5" customHeight="1" x14ac:dyDescent="0.25">
      <c r="I83" s="85"/>
      <c r="N83" s="95" t="s">
        <v>7</v>
      </c>
    </row>
    <row r="84" spans="6:14" ht="13.5" customHeight="1" x14ac:dyDescent="0.25">
      <c r="I84" s="85"/>
      <c r="N84" s="95" t="s">
        <v>8</v>
      </c>
    </row>
    <row r="85" spans="6:14" ht="13.5" customHeight="1" x14ac:dyDescent="0.25">
      <c r="I85" s="85"/>
      <c r="N85" s="95" t="s">
        <v>9</v>
      </c>
    </row>
    <row r="86" spans="6:14" ht="13.5" customHeight="1" x14ac:dyDescent="0.25">
      <c r="I86" s="85"/>
      <c r="N86" s="95" t="s">
        <v>10</v>
      </c>
    </row>
    <row r="87" spans="6:14" ht="13.5" customHeight="1" x14ac:dyDescent="0.25">
      <c r="I87" s="85"/>
      <c r="N87" s="95" t="s">
        <v>11</v>
      </c>
    </row>
    <row r="88" spans="6:14" ht="13.5" customHeight="1" x14ac:dyDescent="0.25">
      <c r="I88" s="85"/>
      <c r="N88" s="95" t="s">
        <v>12</v>
      </c>
    </row>
    <row r="89" spans="6:14" ht="13.5" customHeight="1" x14ac:dyDescent="0.25">
      <c r="I89" s="85"/>
      <c r="N89" s="95" t="s">
        <v>13</v>
      </c>
    </row>
    <row r="90" spans="6:14" ht="13.5" customHeight="1" x14ac:dyDescent="0.25">
      <c r="I90" s="85"/>
      <c r="N90" s="95" t="s">
        <v>14</v>
      </c>
    </row>
    <row r="91" spans="6:14" ht="13.5" customHeight="1" x14ac:dyDescent="0.25">
      <c r="I91" s="85"/>
      <c r="N91" s="95" t="s">
        <v>0</v>
      </c>
    </row>
    <row r="92" spans="6:14" ht="13.5" customHeight="1" x14ac:dyDescent="0.25">
      <c r="I92" s="85"/>
      <c r="N92" s="95" t="s">
        <v>15</v>
      </c>
    </row>
    <row r="93" spans="6:14" ht="13.5" customHeight="1" x14ac:dyDescent="0.25">
      <c r="I93" s="85"/>
      <c r="N93" s="95" t="s">
        <v>16</v>
      </c>
    </row>
    <row r="94" spans="6:14" ht="13.5" customHeight="1" x14ac:dyDescent="0.25">
      <c r="I94" s="85"/>
      <c r="N94" s="95" t="s">
        <v>17</v>
      </c>
    </row>
    <row r="95" spans="6:14" ht="13.5" customHeight="1" x14ac:dyDescent="0.25">
      <c r="I95" s="85"/>
      <c r="N95" s="95" t="s">
        <v>18</v>
      </c>
    </row>
    <row r="96" spans="6:14" ht="13.5" customHeight="1" x14ac:dyDescent="0.25">
      <c r="F96" s="91"/>
      <c r="G96" s="92"/>
      <c r="I96" s="85"/>
      <c r="N96" s="94">
        <v>1</v>
      </c>
    </row>
    <row r="97" spans="6:14" ht="13.5" customHeight="1" x14ac:dyDescent="0.25">
      <c r="F97" s="91"/>
      <c r="G97" s="92"/>
      <c r="I97" s="85"/>
      <c r="N97" s="94">
        <v>2</v>
      </c>
    </row>
    <row r="98" spans="6:14" ht="13.5" customHeight="1" x14ac:dyDescent="0.25">
      <c r="F98" s="91"/>
      <c r="G98" s="92"/>
      <c r="I98" s="85"/>
      <c r="N98" s="94">
        <v>3</v>
      </c>
    </row>
    <row r="99" spans="6:14" ht="13.5" customHeight="1" x14ac:dyDescent="0.25">
      <c r="F99" s="91"/>
      <c r="G99" s="92"/>
      <c r="I99" s="85"/>
      <c r="N99" s="94">
        <v>4</v>
      </c>
    </row>
    <row r="100" spans="6:14" ht="13.5" customHeight="1" x14ac:dyDescent="0.25">
      <c r="F100" s="90"/>
      <c r="G100" s="85"/>
      <c r="I100" s="85"/>
      <c r="N100" s="94">
        <v>5</v>
      </c>
    </row>
    <row r="101" spans="6:14" ht="13.5" customHeight="1" x14ac:dyDescent="0.25">
      <c r="F101" s="91"/>
      <c r="G101" s="85"/>
      <c r="I101" s="85"/>
      <c r="N101" s="94">
        <v>6</v>
      </c>
    </row>
    <row r="102" spans="6:14" ht="13.5" customHeight="1" x14ac:dyDescent="0.25">
      <c r="F102" s="76"/>
      <c r="I102" s="85"/>
      <c r="N102" s="94">
        <v>7</v>
      </c>
    </row>
    <row r="103" spans="6:14" ht="13.5" customHeight="1" x14ac:dyDescent="0.25">
      <c r="I103" s="85"/>
      <c r="N103" s="94">
        <v>8</v>
      </c>
    </row>
    <row r="104" spans="6:14" ht="13.5" customHeight="1" x14ac:dyDescent="0.25">
      <c r="I104" s="85"/>
      <c r="N104" s="94">
        <v>9</v>
      </c>
    </row>
    <row r="105" spans="6:14" ht="13.5" customHeight="1" x14ac:dyDescent="0.25">
      <c r="N105" s="94">
        <v>10</v>
      </c>
    </row>
    <row r="106" spans="6:14" ht="13.5" customHeight="1" x14ac:dyDescent="0.25">
      <c r="N106" s="94">
        <v>11</v>
      </c>
    </row>
    <row r="107" spans="6:14" ht="13.5" customHeight="1" x14ac:dyDescent="0.25">
      <c r="N107" s="94">
        <v>12</v>
      </c>
    </row>
    <row r="108" spans="6:14" ht="13.5" customHeight="1" x14ac:dyDescent="0.25">
      <c r="N108" s="94">
        <v>13</v>
      </c>
    </row>
    <row r="109" spans="6:14" ht="13.5" customHeight="1" x14ac:dyDescent="0.25">
      <c r="N109" s="94">
        <v>14</v>
      </c>
    </row>
    <row r="110" spans="6:14" ht="13.5" customHeight="1" x14ac:dyDescent="0.25">
      <c r="N110" s="94" t="s">
        <v>19</v>
      </c>
    </row>
    <row r="111" spans="6:14" ht="13.5" customHeight="1" x14ac:dyDescent="0.25">
      <c r="N111" s="94" t="s">
        <v>20</v>
      </c>
    </row>
    <row r="112" spans="6:14" ht="13.5" customHeight="1" x14ac:dyDescent="0.25">
      <c r="N112" s="94" t="s">
        <v>68</v>
      </c>
    </row>
    <row r="113" spans="14:14" ht="13.5" customHeight="1" x14ac:dyDescent="0.25">
      <c r="N113" s="94" t="s">
        <v>69</v>
      </c>
    </row>
    <row r="114" spans="14:14" ht="13.5" customHeight="1" x14ac:dyDescent="0.25">
      <c r="N114" s="94" t="s">
        <v>70</v>
      </c>
    </row>
  </sheetData>
  <sheetProtection password="DFB1" sheet="1"/>
  <mergeCells count="1">
    <mergeCell ref="I50:J50"/>
  </mergeCells>
  <phoneticPr fontId="0" type="noConversion"/>
  <dataValidations count="3">
    <dataValidation type="list" allowBlank="1" showInputMessage="1" showErrorMessage="1" sqref="G13 G23">
      <formula1>#REF!</formula1>
    </dataValidation>
    <dataValidation type="list" allowBlank="1" showInputMessage="1" showErrorMessage="1" sqref="H23">
      <formula1>"ja, nee"</formula1>
    </dataValidation>
    <dataValidation type="list" allowBlank="1" showInputMessage="1" showErrorMessage="1" sqref="H13">
      <formula1>$N$71:$N$114</formula1>
    </dataValidation>
  </dataValidations>
  <printOptions gridLines="1"/>
  <pageMargins left="0.74803149606299213" right="0.74803149606299213" top="0.98425196850393704" bottom="0.98425196850393704" header="0.51181102362204722" footer="0.51181102362204722"/>
  <pageSetup paperSize="9" scale="65" orientation="portrait" r:id="rId1"/>
  <headerFooter alignWithMargins="0">
    <oddHeader>&amp;L&amp;"Arial,Vet"&amp;A&amp;C&amp;"Arial,Vet"&amp;D&amp;R&amp;"Arial,Vet"&amp;F</oddHeader>
    <oddFooter>&amp;L&amp;"Arial,Vet"&amp;8gemaakt door keizer, PO-Raad&amp;R&amp;"Arial,Vet"&amp;P</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O105"/>
  <sheetViews>
    <sheetView zoomScale="85" zoomScaleNormal="85" workbookViewId="0">
      <selection activeCell="B2" sqref="B2"/>
    </sheetView>
  </sheetViews>
  <sheetFormatPr defaultColWidth="9.7109375" defaultRowHeight="13.5" customHeight="1" x14ac:dyDescent="0.25"/>
  <cols>
    <col min="1" max="1" width="3.7109375" style="1" customWidth="1"/>
    <col min="2" max="3" width="2.7109375" style="1" customWidth="1"/>
    <col min="4" max="4" width="45.7109375" style="1" customWidth="1"/>
    <col min="5" max="5" width="2.7109375" style="1" customWidth="1"/>
    <col min="6" max="6" width="14.7109375" style="7" customWidth="1"/>
    <col min="7" max="8" width="14.7109375" style="1" customWidth="1"/>
    <col min="9" max="10" width="2.7109375" style="1" customWidth="1"/>
    <col min="11" max="11" width="10.7109375" style="1" customWidth="1"/>
    <col min="12" max="12" width="6.140625" style="1" customWidth="1"/>
    <col min="13" max="13" width="8.140625" style="1" customWidth="1"/>
    <col min="14" max="14" width="2.42578125" style="1" customWidth="1"/>
    <col min="15" max="15" width="6.7109375" style="1" customWidth="1"/>
    <col min="16" max="16" width="10.7109375" style="1" customWidth="1"/>
    <col min="17" max="17" width="2.7109375" style="1" customWidth="1"/>
    <col min="18" max="19" width="10.7109375" style="1" customWidth="1"/>
    <col min="20" max="20" width="2.140625" style="1" customWidth="1"/>
    <col min="21" max="21" width="10.7109375" style="1" customWidth="1"/>
    <col min="22" max="22" width="1.85546875" style="1" customWidth="1"/>
    <col min="23" max="23" width="2.85546875" style="1" customWidth="1"/>
    <col min="24" max="25" width="10.7109375" style="1" customWidth="1"/>
    <col min="26" max="16384" width="9.7109375" style="1"/>
  </cols>
  <sheetData>
    <row r="2" spans="2:41" ht="13.5" customHeight="1" x14ac:dyDescent="0.25">
      <c r="B2" s="12"/>
      <c r="C2" s="13"/>
      <c r="D2" s="13"/>
      <c r="E2" s="13"/>
      <c r="F2" s="14"/>
      <c r="G2" s="13"/>
      <c r="H2" s="13"/>
      <c r="I2" s="13"/>
      <c r="J2" s="15"/>
      <c r="K2" s="31"/>
      <c r="L2" s="261" t="s">
        <v>193</v>
      </c>
      <c r="M2" s="262"/>
      <c r="N2" s="262"/>
      <c r="O2" s="262"/>
      <c r="P2" s="262"/>
      <c r="Q2" s="262"/>
      <c r="R2" s="262"/>
      <c r="S2" s="262"/>
      <c r="T2" s="262"/>
      <c r="U2" s="262"/>
      <c r="V2" s="262"/>
      <c r="W2" s="263"/>
      <c r="X2" s="31"/>
      <c r="Y2" s="272" t="s">
        <v>67</v>
      </c>
    </row>
    <row r="3" spans="2:41" ht="13.5" customHeight="1" x14ac:dyDescent="0.25">
      <c r="B3" s="16"/>
      <c r="C3" s="17"/>
      <c r="D3" s="17"/>
      <c r="E3" s="17"/>
      <c r="F3" s="18"/>
      <c r="G3" s="17"/>
      <c r="H3" s="17"/>
      <c r="I3" s="17"/>
      <c r="J3" s="19"/>
      <c r="K3" s="31"/>
      <c r="L3" s="264" t="s">
        <v>133</v>
      </c>
      <c r="M3" s="265"/>
      <c r="N3" s="265"/>
      <c r="O3" s="265" t="s">
        <v>134</v>
      </c>
      <c r="P3" s="265"/>
      <c r="Q3" s="265"/>
      <c r="R3" s="265"/>
      <c r="S3" s="265"/>
      <c r="T3" s="265"/>
      <c r="U3" s="265" t="s">
        <v>30</v>
      </c>
      <c r="V3" s="265"/>
      <c r="W3" s="266"/>
      <c r="X3" s="31"/>
      <c r="Y3" s="272" t="s">
        <v>60</v>
      </c>
    </row>
    <row r="4" spans="2:41" s="70" customFormat="1" ht="18" customHeight="1" x14ac:dyDescent="0.3">
      <c r="B4" s="67"/>
      <c r="C4" s="60" t="s">
        <v>191</v>
      </c>
      <c r="D4" s="68"/>
      <c r="E4" s="68"/>
      <c r="F4" s="62" t="str">
        <f>tabellen!B2</f>
        <v>2018/2019</v>
      </c>
      <c r="G4" s="61"/>
      <c r="H4" s="68"/>
      <c r="I4" s="68"/>
      <c r="J4" s="69"/>
      <c r="K4" s="255"/>
      <c r="L4" s="264" t="str">
        <f t="shared" ref="L4:L49" si="0">+$F$30</f>
        <v>LB</v>
      </c>
      <c r="M4" s="265">
        <f>+$F$31+W4</f>
        <v>12</v>
      </c>
      <c r="N4" s="265"/>
      <c r="O4" s="265" t="str">
        <f t="shared" ref="O4:O49" si="1">+$F$16</f>
        <v>LA</v>
      </c>
      <c r="P4" s="265">
        <f>+$F$17+W4</f>
        <v>14</v>
      </c>
      <c r="Q4" s="265"/>
      <c r="R4" s="267" t="e">
        <f t="shared" ref="R4:R49" si="2">IF(W4+1&gt;$F$45,0,IF(M4&gt;$H$31,VLOOKUP($L4,saltab2016,$H$31+1,FALSE),VLOOKUP($L4,saltab2016,M4+1,FALSE))*12*(1+F$43))</f>
        <v>#N/A</v>
      </c>
      <c r="S4" s="267" t="e">
        <f t="shared" ref="S4:S49" si="3">IF(W4+1&gt;$F$45,0,IF(P4&gt;$H$17,VLOOKUP($O4,saltab2016,$H$17+1,FALSE),VLOOKUP($O4,saltab2016,P4+1,FALSE))*12*(1+F$43))</f>
        <v>#N/A</v>
      </c>
      <c r="T4" s="265"/>
      <c r="U4" s="267" t="e">
        <f t="shared" ref="U4:U49" si="4">+R4-S4</f>
        <v>#N/A</v>
      </c>
      <c r="V4" s="265"/>
      <c r="W4" s="266">
        <v>0</v>
      </c>
      <c r="X4" s="255"/>
      <c r="Y4" s="272" t="s">
        <v>61</v>
      </c>
      <c r="AF4" s="71"/>
      <c r="AG4" s="71"/>
      <c r="AH4" s="71"/>
      <c r="AI4" s="71"/>
      <c r="AJ4" s="71"/>
      <c r="AK4" s="71"/>
      <c r="AL4" s="71"/>
      <c r="AM4" s="71"/>
      <c r="AN4" s="71"/>
      <c r="AO4" s="71"/>
    </row>
    <row r="5" spans="2:41" s="50" customFormat="1" ht="13.5" customHeight="1" x14ac:dyDescent="0.25">
      <c r="B5" s="52"/>
      <c r="C5" s="53" t="s">
        <v>121</v>
      </c>
      <c r="D5" s="53"/>
      <c r="E5" s="53"/>
      <c r="F5" s="55"/>
      <c r="G5" s="53"/>
      <c r="H5" s="53"/>
      <c r="I5" s="53"/>
      <c r="J5" s="54"/>
      <c r="K5" s="256"/>
      <c r="L5" s="264" t="str">
        <f t="shared" si="0"/>
        <v>LB</v>
      </c>
      <c r="M5" s="265">
        <f t="shared" ref="M5:M49" si="5">+$F$31+W5</f>
        <v>13</v>
      </c>
      <c r="N5" s="265"/>
      <c r="O5" s="265" t="str">
        <f t="shared" si="1"/>
        <v>LA</v>
      </c>
      <c r="P5" s="265">
        <f t="shared" ref="P5:P49" si="6">+$F$17+W5</f>
        <v>15</v>
      </c>
      <c r="Q5" s="265"/>
      <c r="R5" s="267" t="e">
        <f t="shared" si="2"/>
        <v>#N/A</v>
      </c>
      <c r="S5" s="267" t="e">
        <f t="shared" si="3"/>
        <v>#N/A</v>
      </c>
      <c r="T5" s="265"/>
      <c r="U5" s="267" t="e">
        <f t="shared" si="4"/>
        <v>#N/A</v>
      </c>
      <c r="V5" s="265"/>
      <c r="W5" s="266">
        <v>1</v>
      </c>
      <c r="X5" s="256"/>
      <c r="Y5" s="272" t="s">
        <v>62</v>
      </c>
      <c r="AF5" s="51"/>
      <c r="AG5" s="51"/>
      <c r="AH5" s="51"/>
      <c r="AI5" s="51"/>
      <c r="AJ5" s="51"/>
      <c r="AK5" s="51"/>
      <c r="AL5" s="51"/>
      <c r="AM5" s="51"/>
      <c r="AN5" s="51"/>
      <c r="AO5" s="51"/>
    </row>
    <row r="6" spans="2:41" ht="13.5" customHeight="1" x14ac:dyDescent="0.25">
      <c r="B6" s="16"/>
      <c r="C6" s="276" t="s">
        <v>201</v>
      </c>
      <c r="D6" s="28"/>
      <c r="E6" s="17"/>
      <c r="F6" s="18"/>
      <c r="G6" s="17"/>
      <c r="H6" s="17"/>
      <c r="I6" s="17"/>
      <c r="J6" s="19"/>
      <c r="K6" s="31"/>
      <c r="L6" s="264" t="str">
        <f t="shared" si="0"/>
        <v>LB</v>
      </c>
      <c r="M6" s="265">
        <f t="shared" si="5"/>
        <v>14</v>
      </c>
      <c r="N6" s="265"/>
      <c r="O6" s="265" t="str">
        <f t="shared" si="1"/>
        <v>LA</v>
      </c>
      <c r="P6" s="265">
        <f t="shared" si="6"/>
        <v>16</v>
      </c>
      <c r="Q6" s="265"/>
      <c r="R6" s="267" t="e">
        <f t="shared" si="2"/>
        <v>#N/A</v>
      </c>
      <c r="S6" s="267" t="e">
        <f t="shared" si="3"/>
        <v>#N/A</v>
      </c>
      <c r="T6" s="265"/>
      <c r="U6" s="267" t="e">
        <f t="shared" si="4"/>
        <v>#N/A</v>
      </c>
      <c r="V6" s="265"/>
      <c r="W6" s="266">
        <v>2</v>
      </c>
      <c r="X6" s="31"/>
      <c r="Y6" s="272" t="s">
        <v>63</v>
      </c>
      <c r="AF6" s="3"/>
      <c r="AG6" s="3"/>
      <c r="AH6" s="3"/>
      <c r="AI6" s="3"/>
      <c r="AJ6" s="3"/>
      <c r="AK6" s="3"/>
      <c r="AL6" s="3"/>
      <c r="AM6" s="3"/>
      <c r="AN6" s="3"/>
      <c r="AO6" s="3"/>
    </row>
    <row r="7" spans="2:41" ht="13.5" customHeight="1" x14ac:dyDescent="0.25">
      <c r="B7" s="16"/>
      <c r="C7" s="17"/>
      <c r="D7" s="28"/>
      <c r="E7" s="17"/>
      <c r="F7" s="18"/>
      <c r="G7" s="17"/>
      <c r="H7" s="17"/>
      <c r="I7" s="17"/>
      <c r="J7" s="19"/>
      <c r="K7" s="31"/>
      <c r="L7" s="264" t="str">
        <f t="shared" si="0"/>
        <v>LB</v>
      </c>
      <c r="M7" s="265">
        <f t="shared" si="5"/>
        <v>15</v>
      </c>
      <c r="N7" s="265"/>
      <c r="O7" s="265" t="str">
        <f t="shared" si="1"/>
        <v>LA</v>
      </c>
      <c r="P7" s="265">
        <f t="shared" si="6"/>
        <v>17</v>
      </c>
      <c r="Q7" s="265"/>
      <c r="R7" s="267" t="e">
        <f t="shared" si="2"/>
        <v>#N/A</v>
      </c>
      <c r="S7" s="267" t="e">
        <f t="shared" si="3"/>
        <v>#N/A</v>
      </c>
      <c r="T7" s="265"/>
      <c r="U7" s="267" t="e">
        <f t="shared" si="4"/>
        <v>#N/A</v>
      </c>
      <c r="V7" s="265"/>
      <c r="W7" s="266">
        <v>3</v>
      </c>
      <c r="X7" s="31"/>
      <c r="Y7" s="272" t="s">
        <v>64</v>
      </c>
      <c r="AF7" s="3"/>
      <c r="AG7" s="3"/>
      <c r="AH7" s="3"/>
      <c r="AI7" s="3"/>
      <c r="AJ7" s="3"/>
      <c r="AK7" s="3"/>
      <c r="AL7" s="3"/>
      <c r="AM7" s="3"/>
      <c r="AN7" s="3"/>
      <c r="AO7" s="3"/>
    </row>
    <row r="8" spans="2:41" ht="13.5" customHeight="1" x14ac:dyDescent="0.25">
      <c r="B8" s="16"/>
      <c r="C8" s="21"/>
      <c r="D8" s="24"/>
      <c r="E8" s="21"/>
      <c r="F8" s="22"/>
      <c r="G8" s="21"/>
      <c r="H8" s="21"/>
      <c r="I8" s="21"/>
      <c r="J8" s="19"/>
      <c r="K8" s="31"/>
      <c r="L8" s="264" t="str">
        <f t="shared" si="0"/>
        <v>LB</v>
      </c>
      <c r="M8" s="265">
        <f t="shared" si="5"/>
        <v>16</v>
      </c>
      <c r="N8" s="265"/>
      <c r="O8" s="265" t="str">
        <f t="shared" si="1"/>
        <v>LA</v>
      </c>
      <c r="P8" s="265">
        <f t="shared" si="6"/>
        <v>18</v>
      </c>
      <c r="Q8" s="265"/>
      <c r="R8" s="267" t="e">
        <f t="shared" si="2"/>
        <v>#N/A</v>
      </c>
      <c r="S8" s="267" t="e">
        <f t="shared" si="3"/>
        <v>#N/A</v>
      </c>
      <c r="T8" s="265"/>
      <c r="U8" s="267" t="e">
        <f t="shared" si="4"/>
        <v>#N/A</v>
      </c>
      <c r="V8" s="265"/>
      <c r="W8" s="266">
        <v>4</v>
      </c>
      <c r="X8" s="31"/>
      <c r="Y8" s="272" t="s">
        <v>65</v>
      </c>
      <c r="AF8" s="3"/>
      <c r="AG8" s="3"/>
      <c r="AH8" s="3"/>
      <c r="AI8" s="3"/>
      <c r="AJ8" s="3"/>
      <c r="AK8" s="3"/>
      <c r="AL8" s="3"/>
      <c r="AM8" s="3"/>
      <c r="AN8" s="3"/>
      <c r="AO8" s="3"/>
    </row>
    <row r="9" spans="2:41" ht="13.5" customHeight="1" x14ac:dyDescent="0.25">
      <c r="B9" s="16"/>
      <c r="C9" s="21"/>
      <c r="D9" s="21" t="s">
        <v>92</v>
      </c>
      <c r="E9" s="21"/>
      <c r="F9" s="694" t="s">
        <v>32</v>
      </c>
      <c r="G9" s="694"/>
      <c r="H9" s="21"/>
      <c r="I9" s="21"/>
      <c r="J9" s="19"/>
      <c r="K9" s="31"/>
      <c r="L9" s="264" t="str">
        <f t="shared" si="0"/>
        <v>LB</v>
      </c>
      <c r="M9" s="265">
        <f t="shared" si="5"/>
        <v>17</v>
      </c>
      <c r="N9" s="265"/>
      <c r="O9" s="265" t="str">
        <f t="shared" si="1"/>
        <v>LA</v>
      </c>
      <c r="P9" s="265">
        <f t="shared" si="6"/>
        <v>19</v>
      </c>
      <c r="Q9" s="265"/>
      <c r="R9" s="267" t="e">
        <f t="shared" si="2"/>
        <v>#N/A</v>
      </c>
      <c r="S9" s="267" t="e">
        <f t="shared" si="3"/>
        <v>#N/A</v>
      </c>
      <c r="T9" s="265"/>
      <c r="U9" s="267" t="e">
        <f t="shared" si="4"/>
        <v>#N/A</v>
      </c>
      <c r="V9" s="265"/>
      <c r="W9" s="266">
        <v>5</v>
      </c>
      <c r="X9" s="31"/>
      <c r="Y9" s="272" t="s">
        <v>66</v>
      </c>
      <c r="AF9" s="3"/>
      <c r="AG9" s="3"/>
      <c r="AH9" s="3"/>
      <c r="AI9" s="3"/>
      <c r="AJ9" s="3"/>
      <c r="AK9" s="3"/>
      <c r="AL9" s="3"/>
      <c r="AM9" s="3"/>
      <c r="AN9" s="3"/>
      <c r="AO9" s="3"/>
    </row>
    <row r="10" spans="2:41" ht="13.5" customHeight="1" x14ac:dyDescent="0.25">
      <c r="B10" s="16"/>
      <c r="C10" s="21"/>
      <c r="D10" s="21" t="s">
        <v>203</v>
      </c>
      <c r="E10" s="21"/>
      <c r="F10" s="277" t="s">
        <v>51</v>
      </c>
      <c r="G10" s="278"/>
      <c r="H10" s="21"/>
      <c r="I10" s="21"/>
      <c r="J10" s="19"/>
      <c r="K10" s="31"/>
      <c r="L10" s="264" t="str">
        <f t="shared" si="0"/>
        <v>LB</v>
      </c>
      <c r="M10" s="265">
        <f t="shared" si="5"/>
        <v>18</v>
      </c>
      <c r="N10" s="265"/>
      <c r="O10" s="265" t="str">
        <f t="shared" si="1"/>
        <v>LA</v>
      </c>
      <c r="P10" s="265">
        <f t="shared" si="6"/>
        <v>20</v>
      </c>
      <c r="Q10" s="265"/>
      <c r="R10" s="267" t="e">
        <f t="shared" si="2"/>
        <v>#N/A</v>
      </c>
      <c r="S10" s="267" t="e">
        <f t="shared" si="3"/>
        <v>#N/A</v>
      </c>
      <c r="T10" s="265"/>
      <c r="U10" s="267" t="e">
        <f t="shared" si="4"/>
        <v>#N/A</v>
      </c>
      <c r="V10" s="265"/>
      <c r="W10" s="266">
        <v>6</v>
      </c>
      <c r="X10" s="31"/>
      <c r="Y10" s="272" t="s">
        <v>3</v>
      </c>
      <c r="AF10" s="3"/>
      <c r="AG10" s="3"/>
      <c r="AH10" s="3"/>
      <c r="AI10" s="3"/>
      <c r="AJ10" s="3"/>
      <c r="AK10" s="3"/>
      <c r="AL10" s="3"/>
      <c r="AM10" s="3"/>
      <c r="AN10" s="3"/>
      <c r="AO10" s="3"/>
    </row>
    <row r="11" spans="2:41" ht="13.5" customHeight="1" x14ac:dyDescent="0.25">
      <c r="B11" s="16"/>
      <c r="C11" s="21"/>
      <c r="D11" s="24"/>
      <c r="E11" s="21"/>
      <c r="F11" s="26"/>
      <c r="G11" s="42"/>
      <c r="H11" s="21"/>
      <c r="I11" s="21"/>
      <c r="J11" s="19"/>
      <c r="K11" s="31"/>
      <c r="L11" s="264" t="str">
        <f t="shared" si="0"/>
        <v>LB</v>
      </c>
      <c r="M11" s="265">
        <f t="shared" si="5"/>
        <v>19</v>
      </c>
      <c r="N11" s="265"/>
      <c r="O11" s="265" t="str">
        <f t="shared" si="1"/>
        <v>LA</v>
      </c>
      <c r="P11" s="265">
        <f t="shared" si="6"/>
        <v>21</v>
      </c>
      <c r="Q11" s="265"/>
      <c r="R11" s="267" t="e">
        <f t="shared" si="2"/>
        <v>#N/A</v>
      </c>
      <c r="S11" s="267" t="e">
        <f t="shared" si="3"/>
        <v>#N/A</v>
      </c>
      <c r="T11" s="265"/>
      <c r="U11" s="267" t="e">
        <f t="shared" si="4"/>
        <v>#N/A</v>
      </c>
      <c r="V11" s="265"/>
      <c r="W11" s="266">
        <v>7</v>
      </c>
      <c r="X11" s="31"/>
      <c r="Y11" s="272" t="s">
        <v>4</v>
      </c>
      <c r="AF11" s="3"/>
      <c r="AG11" s="3"/>
      <c r="AH11" s="3"/>
      <c r="AI11" s="3"/>
      <c r="AJ11" s="3"/>
      <c r="AK11" s="3"/>
      <c r="AL11" s="3"/>
      <c r="AM11" s="3"/>
      <c r="AN11" s="3"/>
      <c r="AO11" s="3"/>
    </row>
    <row r="12" spans="2:41" ht="13.5" customHeight="1" x14ac:dyDescent="0.25">
      <c r="B12" s="16"/>
      <c r="C12" s="17"/>
      <c r="D12" s="28"/>
      <c r="E12" s="17"/>
      <c r="F12" s="25"/>
      <c r="G12" s="57"/>
      <c r="H12" s="17"/>
      <c r="I12" s="17"/>
      <c r="J12" s="19"/>
      <c r="K12" s="31"/>
      <c r="L12" s="264" t="str">
        <f t="shared" si="0"/>
        <v>LB</v>
      </c>
      <c r="M12" s="265">
        <f t="shared" si="5"/>
        <v>20</v>
      </c>
      <c r="N12" s="265"/>
      <c r="O12" s="265" t="str">
        <f t="shared" si="1"/>
        <v>LA</v>
      </c>
      <c r="P12" s="265">
        <f t="shared" si="6"/>
        <v>22</v>
      </c>
      <c r="Q12" s="265"/>
      <c r="R12" s="267" t="e">
        <f t="shared" si="2"/>
        <v>#N/A</v>
      </c>
      <c r="S12" s="267" t="e">
        <f t="shared" si="3"/>
        <v>#N/A</v>
      </c>
      <c r="T12" s="265"/>
      <c r="U12" s="267" t="e">
        <f t="shared" si="4"/>
        <v>#N/A</v>
      </c>
      <c r="V12" s="265"/>
      <c r="W12" s="266">
        <v>8</v>
      </c>
      <c r="X12" s="31"/>
      <c r="Y12" s="272" t="s">
        <v>5</v>
      </c>
      <c r="AF12" s="3"/>
      <c r="AG12" s="3"/>
      <c r="AH12" s="3"/>
      <c r="AI12" s="3"/>
      <c r="AJ12" s="3"/>
      <c r="AK12" s="3"/>
      <c r="AL12" s="3"/>
      <c r="AM12" s="3"/>
      <c r="AN12" s="3"/>
      <c r="AO12" s="3"/>
    </row>
    <row r="13" spans="2:41" ht="13.5" customHeight="1" x14ac:dyDescent="0.25">
      <c r="B13" s="16"/>
      <c r="C13" s="106"/>
      <c r="D13" s="132"/>
      <c r="E13" s="107"/>
      <c r="F13" s="237"/>
      <c r="G13" s="238"/>
      <c r="H13" s="107"/>
      <c r="I13" s="110"/>
      <c r="J13" s="19"/>
      <c r="K13" s="31"/>
      <c r="L13" s="264" t="str">
        <f t="shared" si="0"/>
        <v>LB</v>
      </c>
      <c r="M13" s="265">
        <f t="shared" si="5"/>
        <v>21</v>
      </c>
      <c r="N13" s="265"/>
      <c r="O13" s="265" t="str">
        <f t="shared" si="1"/>
        <v>LA</v>
      </c>
      <c r="P13" s="265">
        <f t="shared" si="6"/>
        <v>23</v>
      </c>
      <c r="Q13" s="265"/>
      <c r="R13" s="267" t="e">
        <f t="shared" si="2"/>
        <v>#N/A</v>
      </c>
      <c r="S13" s="267" t="e">
        <f t="shared" si="3"/>
        <v>#N/A</v>
      </c>
      <c r="T13" s="265"/>
      <c r="U13" s="267" t="e">
        <f t="shared" si="4"/>
        <v>#N/A</v>
      </c>
      <c r="V13" s="265"/>
      <c r="W13" s="266">
        <v>9</v>
      </c>
      <c r="X13" s="31"/>
      <c r="Y13" s="272" t="s">
        <v>6</v>
      </c>
      <c r="AF13" s="3"/>
      <c r="AG13" s="3"/>
      <c r="AH13" s="3"/>
      <c r="AI13" s="3"/>
      <c r="AJ13" s="3"/>
      <c r="AK13" s="3"/>
      <c r="AL13" s="3"/>
      <c r="AM13" s="3"/>
      <c r="AN13" s="3"/>
      <c r="AO13" s="3"/>
    </row>
    <row r="14" spans="2:41" ht="13.5" customHeight="1" x14ac:dyDescent="0.25">
      <c r="B14" s="16"/>
      <c r="C14" s="111"/>
      <c r="D14" s="112" t="s">
        <v>122</v>
      </c>
      <c r="E14" s="114"/>
      <c r="F14" s="127"/>
      <c r="G14" s="115"/>
      <c r="H14" s="114"/>
      <c r="I14" s="116"/>
      <c r="J14" s="19"/>
      <c r="K14" s="31"/>
      <c r="L14" s="264" t="str">
        <f t="shared" si="0"/>
        <v>LB</v>
      </c>
      <c r="M14" s="265">
        <f t="shared" si="5"/>
        <v>22</v>
      </c>
      <c r="N14" s="265"/>
      <c r="O14" s="265" t="str">
        <f t="shared" si="1"/>
        <v>LA</v>
      </c>
      <c r="P14" s="265">
        <f t="shared" si="6"/>
        <v>24</v>
      </c>
      <c r="Q14" s="265"/>
      <c r="R14" s="267" t="e">
        <f t="shared" si="2"/>
        <v>#N/A</v>
      </c>
      <c r="S14" s="267" t="e">
        <f t="shared" si="3"/>
        <v>#N/A</v>
      </c>
      <c r="T14" s="265"/>
      <c r="U14" s="267" t="e">
        <f t="shared" si="4"/>
        <v>#N/A</v>
      </c>
      <c r="V14" s="265"/>
      <c r="W14" s="266">
        <v>10</v>
      </c>
      <c r="X14" s="31"/>
      <c r="Y14" s="272" t="s">
        <v>7</v>
      </c>
      <c r="AF14" s="3"/>
      <c r="AG14" s="3"/>
      <c r="AH14" s="3"/>
      <c r="AI14" s="3"/>
      <c r="AJ14" s="3"/>
      <c r="AK14" s="3"/>
      <c r="AL14" s="3"/>
      <c r="AM14" s="3"/>
      <c r="AN14" s="3"/>
      <c r="AO14" s="3"/>
    </row>
    <row r="15" spans="2:41" ht="13.5" customHeight="1" x14ac:dyDescent="0.25">
      <c r="B15" s="16"/>
      <c r="C15" s="111"/>
      <c r="D15" s="112"/>
      <c r="E15" s="114"/>
      <c r="F15" s="127"/>
      <c r="G15" s="115"/>
      <c r="H15" s="114"/>
      <c r="I15" s="116"/>
      <c r="J15" s="19"/>
      <c r="K15" s="31"/>
      <c r="L15" s="264" t="str">
        <f t="shared" si="0"/>
        <v>LB</v>
      </c>
      <c r="M15" s="265">
        <f t="shared" si="5"/>
        <v>23</v>
      </c>
      <c r="N15" s="265"/>
      <c r="O15" s="265" t="str">
        <f t="shared" si="1"/>
        <v>LA</v>
      </c>
      <c r="P15" s="265">
        <f t="shared" si="6"/>
        <v>25</v>
      </c>
      <c r="Q15" s="265"/>
      <c r="R15" s="267" t="e">
        <f t="shared" si="2"/>
        <v>#N/A</v>
      </c>
      <c r="S15" s="267" t="e">
        <f t="shared" si="3"/>
        <v>#N/A</v>
      </c>
      <c r="T15" s="265"/>
      <c r="U15" s="267" t="e">
        <f t="shared" si="4"/>
        <v>#N/A</v>
      </c>
      <c r="V15" s="265"/>
      <c r="W15" s="266">
        <v>11</v>
      </c>
      <c r="X15" s="31"/>
      <c r="Y15" s="272" t="s">
        <v>8</v>
      </c>
      <c r="AF15" s="3"/>
      <c r="AG15" s="3"/>
      <c r="AH15" s="3"/>
      <c r="AI15" s="3"/>
      <c r="AJ15" s="3"/>
      <c r="AK15" s="3"/>
      <c r="AL15" s="3"/>
      <c r="AM15" s="3"/>
      <c r="AN15" s="3"/>
      <c r="AO15" s="3"/>
    </row>
    <row r="16" spans="2:41" ht="13.5" customHeight="1" x14ac:dyDescent="0.25">
      <c r="B16" s="16"/>
      <c r="C16" s="111"/>
      <c r="D16" s="114" t="s">
        <v>21</v>
      </c>
      <c r="E16" s="114"/>
      <c r="F16" s="239" t="s">
        <v>0</v>
      </c>
      <c r="G16" s="114"/>
      <c r="H16" s="114"/>
      <c r="I16" s="116"/>
      <c r="J16" s="19"/>
      <c r="K16" s="31"/>
      <c r="L16" s="264" t="str">
        <f t="shared" si="0"/>
        <v>LB</v>
      </c>
      <c r="M16" s="265">
        <f t="shared" si="5"/>
        <v>24</v>
      </c>
      <c r="N16" s="265"/>
      <c r="O16" s="265" t="str">
        <f t="shared" si="1"/>
        <v>LA</v>
      </c>
      <c r="P16" s="265">
        <f t="shared" si="6"/>
        <v>26</v>
      </c>
      <c r="Q16" s="265"/>
      <c r="R16" s="267" t="e">
        <f t="shared" si="2"/>
        <v>#N/A</v>
      </c>
      <c r="S16" s="267" t="e">
        <f t="shared" si="3"/>
        <v>#N/A</v>
      </c>
      <c r="T16" s="265"/>
      <c r="U16" s="267" t="e">
        <f t="shared" si="4"/>
        <v>#N/A</v>
      </c>
      <c r="V16" s="265"/>
      <c r="W16" s="266">
        <v>12</v>
      </c>
      <c r="X16" s="31"/>
      <c r="Y16" s="272" t="s">
        <v>9</v>
      </c>
      <c r="AF16" s="3"/>
      <c r="AG16" s="3"/>
      <c r="AH16" s="3"/>
      <c r="AI16" s="3"/>
      <c r="AJ16" s="3"/>
      <c r="AK16" s="3"/>
      <c r="AL16" s="3"/>
      <c r="AM16" s="3"/>
      <c r="AN16" s="3"/>
      <c r="AO16" s="3"/>
    </row>
    <row r="17" spans="2:41" ht="13.5" customHeight="1" x14ac:dyDescent="0.25">
      <c r="B17" s="16"/>
      <c r="C17" s="111"/>
      <c r="D17" s="114" t="s">
        <v>22</v>
      </c>
      <c r="E17" s="114"/>
      <c r="F17" s="118">
        <v>14</v>
      </c>
      <c r="G17" s="218" t="s">
        <v>123</v>
      </c>
      <c r="H17" s="219" t="e">
        <f>VLOOKUP(F$16,saltab2016,22,FALSE)</f>
        <v>#N/A</v>
      </c>
      <c r="I17" s="116"/>
      <c r="J17" s="19"/>
      <c r="K17" s="31"/>
      <c r="L17" s="264" t="str">
        <f t="shared" si="0"/>
        <v>LB</v>
      </c>
      <c r="M17" s="265">
        <f t="shared" si="5"/>
        <v>25</v>
      </c>
      <c r="N17" s="265"/>
      <c r="O17" s="265" t="str">
        <f t="shared" si="1"/>
        <v>LA</v>
      </c>
      <c r="P17" s="265">
        <f t="shared" si="6"/>
        <v>27</v>
      </c>
      <c r="Q17" s="265"/>
      <c r="R17" s="267" t="e">
        <f t="shared" si="2"/>
        <v>#N/A</v>
      </c>
      <c r="S17" s="267" t="e">
        <f t="shared" si="3"/>
        <v>#N/A</v>
      </c>
      <c r="T17" s="265"/>
      <c r="U17" s="267" t="e">
        <f t="shared" si="4"/>
        <v>#N/A</v>
      </c>
      <c r="V17" s="265"/>
      <c r="W17" s="266">
        <v>13</v>
      </c>
      <c r="X17" s="31"/>
      <c r="Y17" s="272" t="s">
        <v>10</v>
      </c>
      <c r="AF17" s="3"/>
      <c r="AG17" s="3"/>
      <c r="AH17" s="3"/>
      <c r="AI17" s="3"/>
      <c r="AJ17" s="3"/>
      <c r="AK17" s="3"/>
      <c r="AL17" s="3"/>
      <c r="AM17" s="3"/>
      <c r="AN17" s="3"/>
      <c r="AO17" s="3"/>
    </row>
    <row r="18" spans="2:41" ht="13.5" customHeight="1" x14ac:dyDescent="0.25">
      <c r="B18" s="16"/>
      <c r="C18" s="111"/>
      <c r="D18" s="114" t="s">
        <v>24</v>
      </c>
      <c r="E18" s="114"/>
      <c r="F18" s="240" t="e">
        <f>VLOOKUP(F16,saltab2016,IF(F17&gt;15,16,F17+1),FALSE)</f>
        <v>#N/A</v>
      </c>
      <c r="G18" s="241"/>
      <c r="H18" s="242"/>
      <c r="I18" s="116"/>
      <c r="J18" s="19"/>
      <c r="K18" s="31"/>
      <c r="L18" s="264" t="str">
        <f t="shared" si="0"/>
        <v>LB</v>
      </c>
      <c r="M18" s="265">
        <f t="shared" si="5"/>
        <v>26</v>
      </c>
      <c r="N18" s="265"/>
      <c r="O18" s="265" t="str">
        <f t="shared" si="1"/>
        <v>LA</v>
      </c>
      <c r="P18" s="265">
        <f t="shared" si="6"/>
        <v>28</v>
      </c>
      <c r="Q18" s="265"/>
      <c r="R18" s="267" t="e">
        <f t="shared" si="2"/>
        <v>#N/A</v>
      </c>
      <c r="S18" s="267" t="e">
        <f t="shared" si="3"/>
        <v>#N/A</v>
      </c>
      <c r="T18" s="265"/>
      <c r="U18" s="267" t="e">
        <f t="shared" si="4"/>
        <v>#N/A</v>
      </c>
      <c r="V18" s="265"/>
      <c r="W18" s="266">
        <v>14</v>
      </c>
      <c r="X18" s="31"/>
      <c r="Y18" s="272" t="s">
        <v>11</v>
      </c>
      <c r="AF18" s="3"/>
      <c r="AG18" s="3"/>
      <c r="AH18" s="3"/>
      <c r="AI18" s="3"/>
      <c r="AJ18" s="3"/>
      <c r="AK18" s="3"/>
      <c r="AL18" s="3"/>
      <c r="AM18" s="3"/>
      <c r="AN18" s="3"/>
      <c r="AO18" s="3"/>
    </row>
    <row r="19" spans="2:41" ht="13.5" customHeight="1" x14ac:dyDescent="0.25">
      <c r="B19" s="16"/>
      <c r="C19" s="111"/>
      <c r="D19" s="114" t="s">
        <v>204</v>
      </c>
      <c r="E19" s="114"/>
      <c r="F19" s="240" t="e">
        <f>IF(F17=H17,VLOOKUP(F10,bindingstoelage,3,FALSE),0)+IF(F17=H17,IF(F16="LA",tabellen!C27,IF(F16="LB",tabellen!C28,IF(F16="LC",tabellen!C29,IF(F16="LD",tabellen!C30,0)))),0)+IF(F17=H17,IF(OR(F16="LA",F16="LB"),tabellen!#REF!,0),0)</f>
        <v>#N/A</v>
      </c>
      <c r="G19" s="241"/>
      <c r="H19" s="242"/>
      <c r="I19" s="116"/>
      <c r="J19" s="19"/>
      <c r="K19" s="31"/>
      <c r="L19" s="264" t="str">
        <f t="shared" si="0"/>
        <v>LB</v>
      </c>
      <c r="M19" s="265">
        <f t="shared" si="5"/>
        <v>27</v>
      </c>
      <c r="N19" s="265"/>
      <c r="O19" s="265" t="str">
        <f t="shared" si="1"/>
        <v>LA</v>
      </c>
      <c r="P19" s="265">
        <f t="shared" si="6"/>
        <v>29</v>
      </c>
      <c r="Q19" s="265"/>
      <c r="R19" s="267" t="e">
        <f t="shared" si="2"/>
        <v>#N/A</v>
      </c>
      <c r="S19" s="267" t="e">
        <f t="shared" si="3"/>
        <v>#N/A</v>
      </c>
      <c r="T19" s="265"/>
      <c r="U19" s="267" t="e">
        <f t="shared" si="4"/>
        <v>#N/A</v>
      </c>
      <c r="V19" s="265"/>
      <c r="W19" s="266">
        <v>15</v>
      </c>
      <c r="X19" s="31"/>
      <c r="Y19" s="272" t="s">
        <v>12</v>
      </c>
      <c r="AF19" s="3"/>
      <c r="AG19" s="3"/>
      <c r="AH19" s="3"/>
      <c r="AI19" s="3"/>
      <c r="AJ19" s="3"/>
      <c r="AK19" s="3"/>
      <c r="AL19" s="3"/>
      <c r="AM19" s="3"/>
      <c r="AN19" s="3"/>
      <c r="AO19" s="3"/>
    </row>
    <row r="20" spans="2:41" ht="13.5" customHeight="1" x14ac:dyDescent="0.25">
      <c r="B20" s="16"/>
      <c r="C20" s="111"/>
      <c r="D20" s="120" t="s">
        <v>25</v>
      </c>
      <c r="E20" s="114"/>
      <c r="F20" s="220">
        <v>1</v>
      </c>
      <c r="G20" s="218"/>
      <c r="H20" s="219"/>
      <c r="I20" s="116"/>
      <c r="J20" s="19"/>
      <c r="K20" s="31"/>
      <c r="L20" s="264" t="str">
        <f t="shared" si="0"/>
        <v>LB</v>
      </c>
      <c r="M20" s="265">
        <f t="shared" si="5"/>
        <v>28</v>
      </c>
      <c r="N20" s="265"/>
      <c r="O20" s="265" t="str">
        <f t="shared" si="1"/>
        <v>LA</v>
      </c>
      <c r="P20" s="265">
        <f t="shared" si="6"/>
        <v>30</v>
      </c>
      <c r="Q20" s="265"/>
      <c r="R20" s="267" t="e">
        <f t="shared" si="2"/>
        <v>#N/A</v>
      </c>
      <c r="S20" s="267" t="e">
        <f t="shared" si="3"/>
        <v>#N/A</v>
      </c>
      <c r="T20" s="265"/>
      <c r="U20" s="267" t="e">
        <f t="shared" si="4"/>
        <v>#N/A</v>
      </c>
      <c r="V20" s="265"/>
      <c r="W20" s="266">
        <v>16</v>
      </c>
      <c r="X20" s="31"/>
      <c r="Y20" s="272" t="s">
        <v>13</v>
      </c>
      <c r="AF20" s="3"/>
      <c r="AG20" s="3"/>
      <c r="AH20" s="3"/>
      <c r="AI20" s="3"/>
      <c r="AJ20" s="3"/>
      <c r="AK20" s="3"/>
      <c r="AL20" s="3"/>
      <c r="AM20" s="3"/>
      <c r="AN20" s="3"/>
      <c r="AO20" s="3"/>
    </row>
    <row r="21" spans="2:41" ht="13.5" customHeight="1" x14ac:dyDescent="0.25">
      <c r="B21" s="16"/>
      <c r="C21" s="111"/>
      <c r="D21" s="114" t="s">
        <v>26</v>
      </c>
      <c r="E21" s="114"/>
      <c r="F21" s="169" t="e">
        <f>ROUND(+(F18+F19)*F20,2)</f>
        <v>#N/A</v>
      </c>
      <c r="G21" s="218"/>
      <c r="H21" s="219"/>
      <c r="I21" s="116"/>
      <c r="J21" s="19"/>
      <c r="K21" s="31"/>
      <c r="L21" s="264" t="str">
        <f t="shared" si="0"/>
        <v>LB</v>
      </c>
      <c r="M21" s="265">
        <f t="shared" si="5"/>
        <v>29</v>
      </c>
      <c r="N21" s="265"/>
      <c r="O21" s="265" t="str">
        <f t="shared" si="1"/>
        <v>LA</v>
      </c>
      <c r="P21" s="265">
        <f t="shared" si="6"/>
        <v>31</v>
      </c>
      <c r="Q21" s="265"/>
      <c r="R21" s="267" t="e">
        <f t="shared" si="2"/>
        <v>#N/A</v>
      </c>
      <c r="S21" s="267" t="e">
        <f t="shared" si="3"/>
        <v>#N/A</v>
      </c>
      <c r="T21" s="265"/>
      <c r="U21" s="267" t="e">
        <f t="shared" si="4"/>
        <v>#N/A</v>
      </c>
      <c r="V21" s="265"/>
      <c r="W21" s="266">
        <v>17</v>
      </c>
      <c r="X21" s="31"/>
      <c r="Y21" s="272" t="s">
        <v>14</v>
      </c>
      <c r="AF21" s="3"/>
      <c r="AG21" s="3"/>
      <c r="AH21" s="3"/>
      <c r="AI21" s="3"/>
      <c r="AJ21" s="3"/>
      <c r="AK21" s="3"/>
      <c r="AL21" s="3"/>
      <c r="AM21" s="3"/>
      <c r="AN21" s="3"/>
      <c r="AO21" s="3"/>
    </row>
    <row r="22" spans="2:41" ht="13.5" customHeight="1" x14ac:dyDescent="0.25">
      <c r="B22" s="16"/>
      <c r="C22" s="111"/>
      <c r="D22" s="114"/>
      <c r="E22" s="114"/>
      <c r="F22" s="167"/>
      <c r="G22" s="218"/>
      <c r="H22" s="219"/>
      <c r="I22" s="116"/>
      <c r="J22" s="19"/>
      <c r="K22" s="31"/>
      <c r="L22" s="264" t="str">
        <f t="shared" si="0"/>
        <v>LB</v>
      </c>
      <c r="M22" s="265">
        <f t="shared" si="5"/>
        <v>30</v>
      </c>
      <c r="N22" s="265"/>
      <c r="O22" s="265" t="str">
        <f t="shared" si="1"/>
        <v>LA</v>
      </c>
      <c r="P22" s="265">
        <f t="shared" si="6"/>
        <v>32</v>
      </c>
      <c r="Q22" s="265"/>
      <c r="R22" s="267" t="e">
        <f t="shared" si="2"/>
        <v>#N/A</v>
      </c>
      <c r="S22" s="267" t="e">
        <f t="shared" si="3"/>
        <v>#N/A</v>
      </c>
      <c r="T22" s="265"/>
      <c r="U22" s="267" t="e">
        <f t="shared" si="4"/>
        <v>#N/A</v>
      </c>
      <c r="V22" s="265"/>
      <c r="W22" s="266">
        <v>18</v>
      </c>
      <c r="X22" s="31"/>
      <c r="Y22" s="272" t="s">
        <v>0</v>
      </c>
      <c r="AF22" s="3"/>
      <c r="AG22" s="3"/>
      <c r="AH22" s="3"/>
      <c r="AI22" s="3"/>
      <c r="AJ22" s="3"/>
      <c r="AK22" s="3"/>
      <c r="AL22" s="3"/>
      <c r="AM22" s="3"/>
      <c r="AN22" s="3"/>
      <c r="AO22" s="3"/>
    </row>
    <row r="23" spans="2:41" ht="13.5" customHeight="1" x14ac:dyDescent="0.25">
      <c r="B23" s="16"/>
      <c r="C23" s="111"/>
      <c r="D23" s="120" t="s">
        <v>124</v>
      </c>
      <c r="E23" s="114"/>
      <c r="F23" s="118">
        <v>45</v>
      </c>
      <c r="G23" s="218"/>
      <c r="H23" s="219"/>
      <c r="I23" s="116"/>
      <c r="J23" s="19"/>
      <c r="K23" s="31"/>
      <c r="L23" s="264" t="str">
        <f t="shared" si="0"/>
        <v>LB</v>
      </c>
      <c r="M23" s="265">
        <f t="shared" si="5"/>
        <v>31</v>
      </c>
      <c r="N23" s="265"/>
      <c r="O23" s="265" t="str">
        <f t="shared" si="1"/>
        <v>LA</v>
      </c>
      <c r="P23" s="265">
        <f t="shared" si="6"/>
        <v>33</v>
      </c>
      <c r="Q23" s="265"/>
      <c r="R23" s="267" t="e">
        <f t="shared" si="2"/>
        <v>#N/A</v>
      </c>
      <c r="S23" s="267" t="e">
        <f t="shared" si="3"/>
        <v>#N/A</v>
      </c>
      <c r="T23" s="265"/>
      <c r="U23" s="267" t="e">
        <f t="shared" si="4"/>
        <v>#N/A</v>
      </c>
      <c r="V23" s="265"/>
      <c r="W23" s="266">
        <v>19</v>
      </c>
      <c r="X23" s="31"/>
      <c r="Y23" s="272" t="s">
        <v>15</v>
      </c>
      <c r="AF23" s="3"/>
      <c r="AG23" s="3"/>
      <c r="AH23" s="3"/>
      <c r="AI23" s="3"/>
      <c r="AJ23" s="3"/>
      <c r="AK23" s="3"/>
      <c r="AL23" s="3"/>
      <c r="AM23" s="3"/>
      <c r="AN23" s="3"/>
      <c r="AO23" s="3"/>
    </row>
    <row r="24" spans="2:41" ht="13.5" customHeight="1" x14ac:dyDescent="0.25">
      <c r="B24" s="16"/>
      <c r="C24" s="111"/>
      <c r="D24" s="114" t="s">
        <v>125</v>
      </c>
      <c r="E24" s="114"/>
      <c r="F24" s="118">
        <v>65</v>
      </c>
      <c r="G24" s="218"/>
      <c r="H24" s="219"/>
      <c r="I24" s="116"/>
      <c r="J24" s="19"/>
      <c r="K24" s="31"/>
      <c r="L24" s="264" t="str">
        <f t="shared" si="0"/>
        <v>LB</v>
      </c>
      <c r="M24" s="265">
        <f t="shared" si="5"/>
        <v>32</v>
      </c>
      <c r="N24" s="265"/>
      <c r="O24" s="265" t="str">
        <f t="shared" si="1"/>
        <v>LA</v>
      </c>
      <c r="P24" s="265">
        <f t="shared" si="6"/>
        <v>34</v>
      </c>
      <c r="Q24" s="265"/>
      <c r="R24" s="267">
        <f t="shared" si="2"/>
        <v>0</v>
      </c>
      <c r="S24" s="267">
        <f t="shared" si="3"/>
        <v>0</v>
      </c>
      <c r="T24" s="265"/>
      <c r="U24" s="267">
        <f t="shared" si="4"/>
        <v>0</v>
      </c>
      <c r="V24" s="265"/>
      <c r="W24" s="266">
        <v>20</v>
      </c>
      <c r="X24" s="31"/>
      <c r="Y24" s="272" t="s">
        <v>16</v>
      </c>
      <c r="AF24" s="3"/>
      <c r="AG24" s="3"/>
      <c r="AH24" s="3"/>
      <c r="AI24" s="3"/>
      <c r="AJ24" s="3"/>
      <c r="AK24" s="3"/>
      <c r="AL24" s="3"/>
      <c r="AM24" s="3"/>
      <c r="AN24" s="3"/>
      <c r="AO24" s="3"/>
    </row>
    <row r="25" spans="2:41" ht="13.5" customHeight="1" x14ac:dyDescent="0.25">
      <c r="B25" s="16"/>
      <c r="C25" s="128"/>
      <c r="D25" s="129"/>
      <c r="E25" s="129"/>
      <c r="F25" s="243"/>
      <c r="G25" s="244"/>
      <c r="H25" s="245"/>
      <c r="I25" s="131"/>
      <c r="J25" s="19"/>
      <c r="K25" s="31"/>
      <c r="L25" s="264" t="str">
        <f t="shared" si="0"/>
        <v>LB</v>
      </c>
      <c r="M25" s="265">
        <f t="shared" si="5"/>
        <v>33</v>
      </c>
      <c r="N25" s="265"/>
      <c r="O25" s="265" t="str">
        <f t="shared" si="1"/>
        <v>LA</v>
      </c>
      <c r="P25" s="265">
        <f t="shared" si="6"/>
        <v>35</v>
      </c>
      <c r="Q25" s="265"/>
      <c r="R25" s="267">
        <f t="shared" si="2"/>
        <v>0</v>
      </c>
      <c r="S25" s="267">
        <f t="shared" si="3"/>
        <v>0</v>
      </c>
      <c r="T25" s="265"/>
      <c r="U25" s="267">
        <f t="shared" si="4"/>
        <v>0</v>
      </c>
      <c r="V25" s="265"/>
      <c r="W25" s="266">
        <v>21</v>
      </c>
      <c r="X25" s="31"/>
      <c r="Y25" s="272" t="s">
        <v>17</v>
      </c>
      <c r="AF25" s="3"/>
      <c r="AG25" s="3"/>
      <c r="AH25" s="3"/>
      <c r="AI25" s="3"/>
      <c r="AJ25" s="3"/>
      <c r="AK25" s="3"/>
      <c r="AL25" s="3"/>
      <c r="AM25" s="3"/>
      <c r="AN25" s="3"/>
      <c r="AO25" s="3"/>
    </row>
    <row r="26" spans="2:41" ht="13.5" customHeight="1" x14ac:dyDescent="0.25">
      <c r="B26" s="16"/>
      <c r="C26" s="17"/>
      <c r="D26" s="17"/>
      <c r="E26" s="17"/>
      <c r="F26" s="25"/>
      <c r="G26" s="105"/>
      <c r="H26" s="104"/>
      <c r="I26" s="17"/>
      <c r="J26" s="19"/>
      <c r="K26" s="31"/>
      <c r="L26" s="264" t="str">
        <f t="shared" si="0"/>
        <v>LB</v>
      </c>
      <c r="M26" s="265">
        <f t="shared" si="5"/>
        <v>34</v>
      </c>
      <c r="N26" s="265"/>
      <c r="O26" s="265" t="str">
        <f t="shared" si="1"/>
        <v>LA</v>
      </c>
      <c r="P26" s="265">
        <f t="shared" si="6"/>
        <v>36</v>
      </c>
      <c r="Q26" s="265"/>
      <c r="R26" s="267">
        <f t="shared" si="2"/>
        <v>0</v>
      </c>
      <c r="S26" s="267">
        <f t="shared" si="3"/>
        <v>0</v>
      </c>
      <c r="T26" s="265"/>
      <c r="U26" s="267">
        <f t="shared" si="4"/>
        <v>0</v>
      </c>
      <c r="V26" s="265"/>
      <c r="W26" s="266">
        <v>22</v>
      </c>
      <c r="X26" s="31"/>
      <c r="Y26" s="272" t="s">
        <v>18</v>
      </c>
      <c r="AF26" s="3"/>
      <c r="AG26" s="3"/>
      <c r="AH26" s="3"/>
      <c r="AI26" s="3"/>
      <c r="AJ26" s="3"/>
      <c r="AK26" s="3"/>
      <c r="AL26" s="3"/>
      <c r="AM26" s="3"/>
      <c r="AN26" s="3"/>
      <c r="AO26" s="3"/>
    </row>
    <row r="27" spans="2:41" ht="13.5" customHeight="1" x14ac:dyDescent="0.25">
      <c r="B27" s="16"/>
      <c r="C27" s="106"/>
      <c r="D27" s="107"/>
      <c r="E27" s="107"/>
      <c r="F27" s="237"/>
      <c r="G27" s="246"/>
      <c r="H27" s="247"/>
      <c r="I27" s="110"/>
      <c r="J27" s="19"/>
      <c r="K27" s="31"/>
      <c r="L27" s="264" t="str">
        <f t="shared" si="0"/>
        <v>LB</v>
      </c>
      <c r="M27" s="265">
        <f t="shared" si="5"/>
        <v>35</v>
      </c>
      <c r="N27" s="265"/>
      <c r="O27" s="265" t="str">
        <f t="shared" si="1"/>
        <v>LA</v>
      </c>
      <c r="P27" s="265">
        <f t="shared" si="6"/>
        <v>37</v>
      </c>
      <c r="Q27" s="265"/>
      <c r="R27" s="267">
        <f t="shared" si="2"/>
        <v>0</v>
      </c>
      <c r="S27" s="267">
        <f t="shared" si="3"/>
        <v>0</v>
      </c>
      <c r="T27" s="265"/>
      <c r="U27" s="267">
        <f t="shared" si="4"/>
        <v>0</v>
      </c>
      <c r="V27" s="265"/>
      <c r="W27" s="266">
        <v>23</v>
      </c>
      <c r="X27" s="31"/>
      <c r="Y27" s="272" t="s">
        <v>19</v>
      </c>
      <c r="AF27" s="3"/>
      <c r="AG27" s="3"/>
      <c r="AH27" s="3"/>
      <c r="AI27" s="3"/>
      <c r="AJ27" s="3"/>
      <c r="AK27" s="3"/>
      <c r="AL27" s="3"/>
      <c r="AM27" s="3"/>
      <c r="AN27" s="3"/>
      <c r="AO27" s="3"/>
    </row>
    <row r="28" spans="2:41" ht="13.5" customHeight="1" x14ac:dyDescent="0.25">
      <c r="B28" s="16"/>
      <c r="C28" s="111"/>
      <c r="D28" s="112" t="s">
        <v>126</v>
      </c>
      <c r="E28" s="114"/>
      <c r="F28" s="113"/>
      <c r="G28" s="218"/>
      <c r="H28" s="219"/>
      <c r="I28" s="116"/>
      <c r="J28" s="19"/>
      <c r="K28" s="31"/>
      <c r="L28" s="264" t="str">
        <f t="shared" si="0"/>
        <v>LB</v>
      </c>
      <c r="M28" s="265">
        <f t="shared" si="5"/>
        <v>36</v>
      </c>
      <c r="N28" s="265"/>
      <c r="O28" s="265" t="str">
        <f t="shared" si="1"/>
        <v>LA</v>
      </c>
      <c r="P28" s="265">
        <f t="shared" si="6"/>
        <v>38</v>
      </c>
      <c r="Q28" s="265"/>
      <c r="R28" s="267">
        <f t="shared" si="2"/>
        <v>0</v>
      </c>
      <c r="S28" s="267">
        <f t="shared" si="3"/>
        <v>0</v>
      </c>
      <c r="T28" s="265"/>
      <c r="U28" s="267">
        <f t="shared" si="4"/>
        <v>0</v>
      </c>
      <c r="V28" s="265"/>
      <c r="W28" s="266">
        <v>24</v>
      </c>
      <c r="X28" s="31"/>
      <c r="Y28" s="272" t="s">
        <v>20</v>
      </c>
      <c r="AF28" s="3"/>
      <c r="AG28" s="3"/>
      <c r="AH28" s="3"/>
      <c r="AI28" s="3"/>
      <c r="AJ28" s="3"/>
      <c r="AK28" s="3"/>
      <c r="AL28" s="3"/>
      <c r="AM28" s="3"/>
      <c r="AN28" s="3"/>
      <c r="AO28" s="3"/>
    </row>
    <row r="29" spans="2:41" ht="13.5" customHeight="1" x14ac:dyDescent="0.25">
      <c r="B29" s="16"/>
      <c r="C29" s="111"/>
      <c r="D29" s="120"/>
      <c r="E29" s="114"/>
      <c r="F29" s="113"/>
      <c r="G29" s="218"/>
      <c r="H29" s="219"/>
      <c r="I29" s="116"/>
      <c r="J29" s="19"/>
      <c r="K29" s="31"/>
      <c r="L29" s="264" t="str">
        <f t="shared" si="0"/>
        <v>LB</v>
      </c>
      <c r="M29" s="265">
        <f t="shared" si="5"/>
        <v>37</v>
      </c>
      <c r="N29" s="265"/>
      <c r="O29" s="265" t="str">
        <f t="shared" si="1"/>
        <v>LA</v>
      </c>
      <c r="P29" s="265">
        <f t="shared" si="6"/>
        <v>39</v>
      </c>
      <c r="Q29" s="265"/>
      <c r="R29" s="267">
        <f t="shared" si="2"/>
        <v>0</v>
      </c>
      <c r="S29" s="267">
        <f t="shared" si="3"/>
        <v>0</v>
      </c>
      <c r="T29" s="265"/>
      <c r="U29" s="267">
        <f t="shared" si="4"/>
        <v>0</v>
      </c>
      <c r="V29" s="265"/>
      <c r="W29" s="266">
        <v>25</v>
      </c>
      <c r="X29" s="31"/>
      <c r="Y29" s="272">
        <v>1</v>
      </c>
      <c r="AF29" s="3"/>
      <c r="AG29" s="3"/>
      <c r="AH29" s="3"/>
      <c r="AI29" s="3"/>
      <c r="AJ29" s="3"/>
      <c r="AK29" s="3"/>
      <c r="AL29" s="3"/>
      <c r="AM29" s="3"/>
      <c r="AN29" s="3"/>
      <c r="AO29" s="3"/>
    </row>
    <row r="30" spans="2:41" ht="13.5" customHeight="1" x14ac:dyDescent="0.25">
      <c r="B30" s="16"/>
      <c r="C30" s="111"/>
      <c r="D30" s="114" t="s">
        <v>21</v>
      </c>
      <c r="E30" s="114"/>
      <c r="F30" s="239" t="s">
        <v>15</v>
      </c>
      <c r="G30" s="218"/>
      <c r="H30" s="219"/>
      <c r="I30" s="116"/>
      <c r="J30" s="19"/>
      <c r="K30" s="257"/>
      <c r="L30" s="264" t="str">
        <f t="shared" si="0"/>
        <v>LB</v>
      </c>
      <c r="M30" s="265">
        <f t="shared" si="5"/>
        <v>38</v>
      </c>
      <c r="N30" s="265"/>
      <c r="O30" s="265" t="str">
        <f t="shared" si="1"/>
        <v>LA</v>
      </c>
      <c r="P30" s="265">
        <f t="shared" si="6"/>
        <v>40</v>
      </c>
      <c r="Q30" s="265"/>
      <c r="R30" s="267">
        <f t="shared" si="2"/>
        <v>0</v>
      </c>
      <c r="S30" s="267">
        <f t="shared" si="3"/>
        <v>0</v>
      </c>
      <c r="T30" s="265"/>
      <c r="U30" s="267">
        <f t="shared" si="4"/>
        <v>0</v>
      </c>
      <c r="V30" s="265"/>
      <c r="W30" s="266">
        <v>26</v>
      </c>
      <c r="X30" s="257"/>
      <c r="Y30" s="272">
        <v>2</v>
      </c>
      <c r="Z30" s="3"/>
      <c r="AA30" s="3"/>
      <c r="AF30" s="3"/>
      <c r="AG30" s="3"/>
      <c r="AH30" s="3"/>
      <c r="AI30" s="3"/>
      <c r="AJ30" s="3"/>
      <c r="AK30" s="3"/>
      <c r="AL30" s="3"/>
      <c r="AM30" s="3"/>
      <c r="AN30" s="3"/>
      <c r="AO30" s="3"/>
    </row>
    <row r="31" spans="2:41" ht="13.5" customHeight="1" x14ac:dyDescent="0.25">
      <c r="B31" s="16"/>
      <c r="C31" s="111"/>
      <c r="D31" s="115" t="s">
        <v>22</v>
      </c>
      <c r="E31" s="114"/>
      <c r="F31" s="118">
        <v>12</v>
      </c>
      <c r="G31" s="218" t="s">
        <v>123</v>
      </c>
      <c r="H31" s="219" t="e">
        <f>VLOOKUP(F30,saltab2016,22,FALSE)</f>
        <v>#N/A</v>
      </c>
      <c r="I31" s="116"/>
      <c r="J31" s="19"/>
      <c r="K31" s="257"/>
      <c r="L31" s="264" t="str">
        <f t="shared" si="0"/>
        <v>LB</v>
      </c>
      <c r="M31" s="265">
        <f t="shared" si="5"/>
        <v>39</v>
      </c>
      <c r="N31" s="265"/>
      <c r="O31" s="265" t="str">
        <f t="shared" si="1"/>
        <v>LA</v>
      </c>
      <c r="P31" s="265">
        <f t="shared" si="6"/>
        <v>41</v>
      </c>
      <c r="Q31" s="265"/>
      <c r="R31" s="267">
        <f t="shared" si="2"/>
        <v>0</v>
      </c>
      <c r="S31" s="267">
        <f t="shared" si="3"/>
        <v>0</v>
      </c>
      <c r="T31" s="265"/>
      <c r="U31" s="267">
        <f t="shared" si="4"/>
        <v>0</v>
      </c>
      <c r="V31" s="265"/>
      <c r="W31" s="266">
        <v>27</v>
      </c>
      <c r="X31" s="257"/>
      <c r="Y31" s="272">
        <v>3</v>
      </c>
      <c r="Z31" s="3"/>
      <c r="AA31" s="3"/>
      <c r="AF31" s="3"/>
      <c r="AG31" s="3"/>
      <c r="AH31" s="3"/>
      <c r="AI31" s="3"/>
      <c r="AJ31" s="3"/>
      <c r="AK31" s="3"/>
      <c r="AL31" s="3"/>
      <c r="AM31" s="3"/>
      <c r="AN31" s="3"/>
      <c r="AO31" s="3"/>
    </row>
    <row r="32" spans="2:41" ht="13.5" customHeight="1" x14ac:dyDescent="0.25">
      <c r="B32" s="16"/>
      <c r="C32" s="111"/>
      <c r="D32" s="115" t="s">
        <v>24</v>
      </c>
      <c r="E32" s="114"/>
      <c r="F32" s="146" t="e">
        <f>VLOOKUP(F30,saltab2016,IF(F31&gt;15,16,F31+1),FALSE)</f>
        <v>#N/A</v>
      </c>
      <c r="G32" s="115"/>
      <c r="H32" s="115"/>
      <c r="I32" s="221"/>
      <c r="J32" s="27"/>
      <c r="K32" s="257"/>
      <c r="L32" s="264" t="str">
        <f t="shared" si="0"/>
        <v>LB</v>
      </c>
      <c r="M32" s="265">
        <f t="shared" si="5"/>
        <v>40</v>
      </c>
      <c r="N32" s="265"/>
      <c r="O32" s="265" t="str">
        <f t="shared" si="1"/>
        <v>LA</v>
      </c>
      <c r="P32" s="265">
        <f t="shared" si="6"/>
        <v>42</v>
      </c>
      <c r="Q32" s="265"/>
      <c r="R32" s="267">
        <f t="shared" si="2"/>
        <v>0</v>
      </c>
      <c r="S32" s="267">
        <f t="shared" si="3"/>
        <v>0</v>
      </c>
      <c r="T32" s="265"/>
      <c r="U32" s="267">
        <f t="shared" si="4"/>
        <v>0</v>
      </c>
      <c r="V32" s="265"/>
      <c r="W32" s="266">
        <v>28</v>
      </c>
      <c r="X32" s="257"/>
      <c r="Y32" s="272">
        <v>4</v>
      </c>
      <c r="Z32" s="3"/>
      <c r="AA32" s="3"/>
      <c r="AF32" s="3"/>
      <c r="AG32" s="3"/>
      <c r="AH32" s="3"/>
      <c r="AI32" s="3"/>
      <c r="AJ32" s="3"/>
      <c r="AK32" s="3"/>
      <c r="AL32" s="3"/>
      <c r="AM32" s="3"/>
      <c r="AN32" s="3"/>
      <c r="AO32" s="3"/>
    </row>
    <row r="33" spans="2:41" ht="13.5" customHeight="1" x14ac:dyDescent="0.25">
      <c r="B33" s="16"/>
      <c r="C33" s="111"/>
      <c r="D33" s="114"/>
      <c r="E33" s="115"/>
      <c r="F33" s="145"/>
      <c r="G33" s="115"/>
      <c r="H33" s="115"/>
      <c r="I33" s="221"/>
      <c r="J33" s="27"/>
      <c r="K33" s="257"/>
      <c r="L33" s="264" t="str">
        <f t="shared" si="0"/>
        <v>LB</v>
      </c>
      <c r="M33" s="265">
        <f t="shared" si="5"/>
        <v>41</v>
      </c>
      <c r="N33" s="265"/>
      <c r="O33" s="265" t="str">
        <f t="shared" si="1"/>
        <v>LA</v>
      </c>
      <c r="P33" s="265">
        <f t="shared" si="6"/>
        <v>43</v>
      </c>
      <c r="Q33" s="265"/>
      <c r="R33" s="267">
        <f t="shared" si="2"/>
        <v>0</v>
      </c>
      <c r="S33" s="267">
        <f t="shared" si="3"/>
        <v>0</v>
      </c>
      <c r="T33" s="265"/>
      <c r="U33" s="267">
        <f t="shared" si="4"/>
        <v>0</v>
      </c>
      <c r="V33" s="265"/>
      <c r="W33" s="266">
        <v>29</v>
      </c>
      <c r="X33" s="257"/>
      <c r="Y33" s="272">
        <v>5</v>
      </c>
      <c r="Z33" s="3"/>
      <c r="AA33" s="3"/>
      <c r="AF33" s="3"/>
      <c r="AG33" s="3"/>
      <c r="AH33" s="3"/>
      <c r="AI33" s="3"/>
      <c r="AJ33" s="3"/>
      <c r="AK33" s="3"/>
      <c r="AL33" s="3"/>
      <c r="AM33" s="3"/>
      <c r="AN33" s="3"/>
      <c r="AO33" s="3"/>
    </row>
    <row r="34" spans="2:41" ht="13.5" customHeight="1" x14ac:dyDescent="0.25">
      <c r="B34" s="16"/>
      <c r="C34" s="111"/>
      <c r="D34" s="120" t="s">
        <v>180</v>
      </c>
      <c r="E34" s="115"/>
      <c r="F34" s="248" t="s">
        <v>94</v>
      </c>
      <c r="G34" s="115"/>
      <c r="H34" s="115"/>
      <c r="I34" s="221"/>
      <c r="J34" s="27"/>
      <c r="K34" s="257"/>
      <c r="L34" s="264" t="str">
        <f t="shared" si="0"/>
        <v>LB</v>
      </c>
      <c r="M34" s="265">
        <f t="shared" si="5"/>
        <v>42</v>
      </c>
      <c r="N34" s="265"/>
      <c r="O34" s="265" t="str">
        <f t="shared" si="1"/>
        <v>LA</v>
      </c>
      <c r="P34" s="265">
        <f t="shared" si="6"/>
        <v>44</v>
      </c>
      <c r="Q34" s="265"/>
      <c r="R34" s="267">
        <f t="shared" si="2"/>
        <v>0</v>
      </c>
      <c r="S34" s="267">
        <f t="shared" si="3"/>
        <v>0</v>
      </c>
      <c r="T34" s="265"/>
      <c r="U34" s="267">
        <f t="shared" si="4"/>
        <v>0</v>
      </c>
      <c r="V34" s="265"/>
      <c r="W34" s="266">
        <v>30</v>
      </c>
      <c r="X34" s="257"/>
      <c r="Y34" s="272">
        <v>6</v>
      </c>
      <c r="Z34" s="3"/>
      <c r="AA34" s="3"/>
      <c r="AF34" s="3"/>
      <c r="AG34" s="3"/>
      <c r="AH34" s="3"/>
      <c r="AI34" s="3"/>
      <c r="AJ34" s="3"/>
      <c r="AK34" s="3"/>
      <c r="AL34" s="3"/>
      <c r="AM34" s="3"/>
      <c r="AN34" s="3"/>
      <c r="AO34" s="3"/>
    </row>
    <row r="35" spans="2:41" ht="13.5" customHeight="1" x14ac:dyDescent="0.25">
      <c r="B35" s="16"/>
      <c r="C35" s="111"/>
      <c r="D35" s="115" t="s">
        <v>127</v>
      </c>
      <c r="E35" s="114"/>
      <c r="F35" s="248">
        <v>0</v>
      </c>
      <c r="G35" s="115"/>
      <c r="H35" s="115"/>
      <c r="I35" s="221"/>
      <c r="J35" s="27"/>
      <c r="K35" s="257"/>
      <c r="L35" s="264" t="str">
        <f t="shared" si="0"/>
        <v>LB</v>
      </c>
      <c r="M35" s="265">
        <f t="shared" si="5"/>
        <v>43</v>
      </c>
      <c r="N35" s="265"/>
      <c r="O35" s="265" t="str">
        <f t="shared" si="1"/>
        <v>LA</v>
      </c>
      <c r="P35" s="265">
        <f t="shared" si="6"/>
        <v>45</v>
      </c>
      <c r="Q35" s="265"/>
      <c r="R35" s="267">
        <f t="shared" si="2"/>
        <v>0</v>
      </c>
      <c r="S35" s="267">
        <f t="shared" si="3"/>
        <v>0</v>
      </c>
      <c r="T35" s="265"/>
      <c r="U35" s="267">
        <f t="shared" si="4"/>
        <v>0</v>
      </c>
      <c r="V35" s="265"/>
      <c r="W35" s="266">
        <v>31</v>
      </c>
      <c r="X35" s="257"/>
      <c r="Y35" s="272">
        <v>7</v>
      </c>
      <c r="Z35" s="3"/>
      <c r="AA35" s="3"/>
    </row>
    <row r="36" spans="2:41" ht="13.5" customHeight="1" x14ac:dyDescent="0.25">
      <c r="B36" s="16"/>
      <c r="C36" s="111"/>
      <c r="D36" s="114" t="s">
        <v>26</v>
      </c>
      <c r="E36" s="114"/>
      <c r="F36" s="249" t="e">
        <f>ROUND(IF(F34="ja",F32*F35,F32*F20),2)</f>
        <v>#N/A</v>
      </c>
      <c r="G36" s="115"/>
      <c r="H36" s="115"/>
      <c r="I36" s="221"/>
      <c r="J36" s="27"/>
      <c r="K36" s="257"/>
      <c r="L36" s="264" t="str">
        <f t="shared" si="0"/>
        <v>LB</v>
      </c>
      <c r="M36" s="265">
        <f t="shared" si="5"/>
        <v>44</v>
      </c>
      <c r="N36" s="265"/>
      <c r="O36" s="265" t="str">
        <f t="shared" si="1"/>
        <v>LA</v>
      </c>
      <c r="P36" s="265">
        <f t="shared" si="6"/>
        <v>46</v>
      </c>
      <c r="Q36" s="265"/>
      <c r="R36" s="267">
        <f t="shared" si="2"/>
        <v>0</v>
      </c>
      <c r="S36" s="267">
        <f t="shared" si="3"/>
        <v>0</v>
      </c>
      <c r="T36" s="265"/>
      <c r="U36" s="267">
        <f t="shared" si="4"/>
        <v>0</v>
      </c>
      <c r="V36" s="265"/>
      <c r="W36" s="266">
        <v>32</v>
      </c>
      <c r="X36" s="257"/>
      <c r="Y36" s="272">
        <v>8</v>
      </c>
      <c r="Z36" s="3"/>
      <c r="AA36" s="3"/>
    </row>
    <row r="37" spans="2:41" ht="13.5" customHeight="1" x14ac:dyDescent="0.25">
      <c r="B37" s="16"/>
      <c r="C37" s="128"/>
      <c r="D37" s="129"/>
      <c r="E37" s="129"/>
      <c r="F37" s="130"/>
      <c r="G37" s="150"/>
      <c r="H37" s="150"/>
      <c r="I37" s="222"/>
      <c r="J37" s="27"/>
      <c r="K37" s="257"/>
      <c r="L37" s="264" t="str">
        <f t="shared" si="0"/>
        <v>LB</v>
      </c>
      <c r="M37" s="265">
        <f t="shared" si="5"/>
        <v>45</v>
      </c>
      <c r="N37" s="265"/>
      <c r="O37" s="265" t="str">
        <f t="shared" si="1"/>
        <v>LA</v>
      </c>
      <c r="P37" s="265">
        <f t="shared" si="6"/>
        <v>47</v>
      </c>
      <c r="Q37" s="265"/>
      <c r="R37" s="267">
        <f t="shared" si="2"/>
        <v>0</v>
      </c>
      <c r="S37" s="267">
        <f t="shared" si="3"/>
        <v>0</v>
      </c>
      <c r="T37" s="265"/>
      <c r="U37" s="267">
        <f t="shared" si="4"/>
        <v>0</v>
      </c>
      <c r="V37" s="265"/>
      <c r="W37" s="266">
        <v>33</v>
      </c>
      <c r="X37" s="257"/>
      <c r="Y37" s="272">
        <v>9</v>
      </c>
      <c r="Z37" s="3"/>
      <c r="AA37" s="3"/>
    </row>
    <row r="38" spans="2:41" ht="13.5" customHeight="1" x14ac:dyDescent="0.25">
      <c r="B38" s="16"/>
      <c r="C38" s="17"/>
      <c r="D38" s="17"/>
      <c r="E38" s="17"/>
      <c r="F38" s="18"/>
      <c r="G38" s="20"/>
      <c r="H38" s="20"/>
      <c r="I38" s="20"/>
      <c r="J38" s="27"/>
      <c r="K38" s="257"/>
      <c r="L38" s="264" t="str">
        <f t="shared" si="0"/>
        <v>LB</v>
      </c>
      <c r="M38" s="265">
        <f t="shared" si="5"/>
        <v>46</v>
      </c>
      <c r="N38" s="265"/>
      <c r="O38" s="265" t="str">
        <f t="shared" si="1"/>
        <v>LA</v>
      </c>
      <c r="P38" s="265">
        <f t="shared" si="6"/>
        <v>48</v>
      </c>
      <c r="Q38" s="265"/>
      <c r="R38" s="267">
        <f t="shared" si="2"/>
        <v>0</v>
      </c>
      <c r="S38" s="267">
        <f t="shared" si="3"/>
        <v>0</v>
      </c>
      <c r="T38" s="265"/>
      <c r="U38" s="267">
        <f t="shared" si="4"/>
        <v>0</v>
      </c>
      <c r="V38" s="265"/>
      <c r="W38" s="266">
        <v>34</v>
      </c>
      <c r="X38" s="257"/>
      <c r="Y38" s="272">
        <v>10</v>
      </c>
      <c r="Z38" s="3"/>
      <c r="AA38" s="3"/>
    </row>
    <row r="39" spans="2:41" ht="13.5" customHeight="1" x14ac:dyDescent="0.25">
      <c r="B39" s="16"/>
      <c r="C39" s="106"/>
      <c r="D39" s="107"/>
      <c r="E39" s="107"/>
      <c r="F39" s="108"/>
      <c r="G39" s="109"/>
      <c r="H39" s="109"/>
      <c r="I39" s="223"/>
      <c r="J39" s="27"/>
      <c r="K39" s="257"/>
      <c r="L39" s="264" t="str">
        <f t="shared" si="0"/>
        <v>LB</v>
      </c>
      <c r="M39" s="265">
        <f t="shared" si="5"/>
        <v>47</v>
      </c>
      <c r="N39" s="265"/>
      <c r="O39" s="265" t="str">
        <f t="shared" si="1"/>
        <v>LA</v>
      </c>
      <c r="P39" s="265">
        <f t="shared" si="6"/>
        <v>49</v>
      </c>
      <c r="Q39" s="265"/>
      <c r="R39" s="267">
        <f t="shared" si="2"/>
        <v>0</v>
      </c>
      <c r="S39" s="267">
        <f t="shared" si="3"/>
        <v>0</v>
      </c>
      <c r="T39" s="265"/>
      <c r="U39" s="267">
        <f t="shared" si="4"/>
        <v>0</v>
      </c>
      <c r="V39" s="265"/>
      <c r="W39" s="266">
        <v>35</v>
      </c>
      <c r="X39" s="257"/>
      <c r="Y39" s="272">
        <v>11</v>
      </c>
      <c r="Z39" s="3"/>
      <c r="AA39" s="3"/>
    </row>
    <row r="40" spans="2:41" ht="13.5" customHeight="1" x14ac:dyDescent="0.25">
      <c r="B40" s="16"/>
      <c r="C40" s="111"/>
      <c r="D40" s="112" t="s">
        <v>182</v>
      </c>
      <c r="E40" s="114"/>
      <c r="F40" s="113"/>
      <c r="G40" s="115"/>
      <c r="H40" s="115"/>
      <c r="I40" s="221"/>
      <c r="J40" s="27"/>
      <c r="K40" s="257"/>
      <c r="L40" s="264" t="str">
        <f t="shared" si="0"/>
        <v>LB</v>
      </c>
      <c r="M40" s="265">
        <f t="shared" si="5"/>
        <v>48</v>
      </c>
      <c r="N40" s="265"/>
      <c r="O40" s="265" t="str">
        <f t="shared" si="1"/>
        <v>LA</v>
      </c>
      <c r="P40" s="265">
        <f t="shared" si="6"/>
        <v>50</v>
      </c>
      <c r="Q40" s="265"/>
      <c r="R40" s="267">
        <f t="shared" si="2"/>
        <v>0</v>
      </c>
      <c r="S40" s="267">
        <f t="shared" si="3"/>
        <v>0</v>
      </c>
      <c r="T40" s="265"/>
      <c r="U40" s="267">
        <f t="shared" si="4"/>
        <v>0</v>
      </c>
      <c r="V40" s="265"/>
      <c r="W40" s="266">
        <v>36</v>
      </c>
      <c r="X40" s="257"/>
      <c r="Y40" s="272">
        <v>12</v>
      </c>
      <c r="Z40" s="3"/>
      <c r="AA40" s="3"/>
    </row>
    <row r="41" spans="2:41" ht="13.5" customHeight="1" x14ac:dyDescent="0.25">
      <c r="B41" s="16"/>
      <c r="C41" s="111"/>
      <c r="D41" s="114"/>
      <c r="E41" s="114"/>
      <c r="F41" s="113"/>
      <c r="G41" s="115"/>
      <c r="H41" s="115"/>
      <c r="I41" s="221"/>
      <c r="J41" s="27"/>
      <c r="K41" s="257"/>
      <c r="L41" s="264" t="str">
        <f t="shared" si="0"/>
        <v>LB</v>
      </c>
      <c r="M41" s="265">
        <f t="shared" si="5"/>
        <v>49</v>
      </c>
      <c r="N41" s="265"/>
      <c r="O41" s="265" t="str">
        <f t="shared" si="1"/>
        <v>LA</v>
      </c>
      <c r="P41" s="265">
        <f t="shared" si="6"/>
        <v>51</v>
      </c>
      <c r="Q41" s="265"/>
      <c r="R41" s="267">
        <f t="shared" si="2"/>
        <v>0</v>
      </c>
      <c r="S41" s="267">
        <f t="shared" si="3"/>
        <v>0</v>
      </c>
      <c r="T41" s="265"/>
      <c r="U41" s="267">
        <f t="shared" si="4"/>
        <v>0</v>
      </c>
      <c r="V41" s="265"/>
      <c r="W41" s="266">
        <v>37</v>
      </c>
      <c r="X41" s="257"/>
      <c r="Y41" s="272">
        <v>13</v>
      </c>
      <c r="Z41" s="3"/>
      <c r="AA41" s="3"/>
    </row>
    <row r="42" spans="2:41" ht="13.5" customHeight="1" x14ac:dyDescent="0.25">
      <c r="B42" s="16"/>
      <c r="C42" s="111"/>
      <c r="D42" s="114" t="s">
        <v>128</v>
      </c>
      <c r="E42" s="114"/>
      <c r="F42" s="169" t="e">
        <f>+F36-F21</f>
        <v>#N/A</v>
      </c>
      <c r="G42" s="115"/>
      <c r="H42" s="115"/>
      <c r="I42" s="221"/>
      <c r="J42" s="27"/>
      <c r="K42" s="31"/>
      <c r="L42" s="264" t="str">
        <f t="shared" si="0"/>
        <v>LB</v>
      </c>
      <c r="M42" s="265">
        <f t="shared" si="5"/>
        <v>50</v>
      </c>
      <c r="N42" s="265"/>
      <c r="O42" s="265" t="str">
        <f t="shared" si="1"/>
        <v>LA</v>
      </c>
      <c r="P42" s="265">
        <f t="shared" si="6"/>
        <v>52</v>
      </c>
      <c r="Q42" s="265"/>
      <c r="R42" s="267">
        <f t="shared" si="2"/>
        <v>0</v>
      </c>
      <c r="S42" s="267">
        <f t="shared" si="3"/>
        <v>0</v>
      </c>
      <c r="T42" s="265"/>
      <c r="U42" s="267">
        <f t="shared" si="4"/>
        <v>0</v>
      </c>
      <c r="V42" s="265"/>
      <c r="W42" s="266">
        <v>38</v>
      </c>
      <c r="X42" s="31"/>
      <c r="Y42" s="272">
        <v>14</v>
      </c>
    </row>
    <row r="43" spans="2:41" ht="13.5" customHeight="1" x14ac:dyDescent="0.25">
      <c r="B43" s="16"/>
      <c r="C43" s="111"/>
      <c r="D43" s="114" t="s">
        <v>129</v>
      </c>
      <c r="E43" s="114"/>
      <c r="F43" s="206">
        <v>0.59</v>
      </c>
      <c r="G43" s="115"/>
      <c r="H43" s="115"/>
      <c r="I43" s="221"/>
      <c r="J43" s="27"/>
      <c r="K43" s="31"/>
      <c r="L43" s="264" t="str">
        <f t="shared" si="0"/>
        <v>LB</v>
      </c>
      <c r="M43" s="265">
        <f t="shared" si="5"/>
        <v>51</v>
      </c>
      <c r="N43" s="265"/>
      <c r="O43" s="265" t="str">
        <f t="shared" si="1"/>
        <v>LA</v>
      </c>
      <c r="P43" s="265">
        <f t="shared" si="6"/>
        <v>53</v>
      </c>
      <c r="Q43" s="265"/>
      <c r="R43" s="267">
        <f t="shared" si="2"/>
        <v>0</v>
      </c>
      <c r="S43" s="267">
        <f t="shared" si="3"/>
        <v>0</v>
      </c>
      <c r="T43" s="265"/>
      <c r="U43" s="267">
        <f t="shared" si="4"/>
        <v>0</v>
      </c>
      <c r="V43" s="265"/>
      <c r="W43" s="266">
        <v>39</v>
      </c>
      <c r="X43" s="31"/>
      <c r="Y43" s="272" t="s">
        <v>68</v>
      </c>
    </row>
    <row r="44" spans="2:41" ht="13.5" customHeight="1" x14ac:dyDescent="0.25">
      <c r="B44" s="16"/>
      <c r="C44" s="111"/>
      <c r="D44" s="114" t="s">
        <v>130</v>
      </c>
      <c r="E44" s="114"/>
      <c r="F44" s="169" t="e">
        <f>+F42*12*(1+F43)</f>
        <v>#N/A</v>
      </c>
      <c r="G44" s="114"/>
      <c r="H44" s="114"/>
      <c r="I44" s="116"/>
      <c r="J44" s="19"/>
      <c r="K44" s="31"/>
      <c r="L44" s="264" t="str">
        <f t="shared" si="0"/>
        <v>LB</v>
      </c>
      <c r="M44" s="265">
        <f t="shared" si="5"/>
        <v>52</v>
      </c>
      <c r="N44" s="265"/>
      <c r="O44" s="265" t="str">
        <f t="shared" si="1"/>
        <v>LA</v>
      </c>
      <c r="P44" s="265">
        <f t="shared" si="6"/>
        <v>54</v>
      </c>
      <c r="Q44" s="265"/>
      <c r="R44" s="267">
        <f t="shared" si="2"/>
        <v>0</v>
      </c>
      <c r="S44" s="267">
        <f t="shared" si="3"/>
        <v>0</v>
      </c>
      <c r="T44" s="265"/>
      <c r="U44" s="267">
        <f t="shared" si="4"/>
        <v>0</v>
      </c>
      <c r="V44" s="265"/>
      <c r="W44" s="266">
        <v>40</v>
      </c>
      <c r="X44" s="31"/>
      <c r="Y44" s="272" t="s">
        <v>69</v>
      </c>
    </row>
    <row r="45" spans="2:41" ht="13.5" customHeight="1" x14ac:dyDescent="0.25">
      <c r="B45" s="16"/>
      <c r="C45" s="111"/>
      <c r="D45" s="114" t="s">
        <v>131</v>
      </c>
      <c r="E45" s="114"/>
      <c r="F45" s="224">
        <f>+F24-F23</f>
        <v>20</v>
      </c>
      <c r="G45" s="114"/>
      <c r="H45" s="114"/>
      <c r="I45" s="116"/>
      <c r="J45" s="19"/>
      <c r="K45" s="258"/>
      <c r="L45" s="264" t="str">
        <f t="shared" si="0"/>
        <v>LB</v>
      </c>
      <c r="M45" s="265">
        <f t="shared" si="5"/>
        <v>53</v>
      </c>
      <c r="N45" s="265"/>
      <c r="O45" s="265" t="str">
        <f t="shared" si="1"/>
        <v>LA</v>
      </c>
      <c r="P45" s="265">
        <f t="shared" si="6"/>
        <v>55</v>
      </c>
      <c r="Q45" s="265"/>
      <c r="R45" s="267">
        <f t="shared" si="2"/>
        <v>0</v>
      </c>
      <c r="S45" s="267">
        <f t="shared" si="3"/>
        <v>0</v>
      </c>
      <c r="T45" s="265"/>
      <c r="U45" s="267">
        <f t="shared" si="4"/>
        <v>0</v>
      </c>
      <c r="V45" s="265"/>
      <c r="W45" s="266">
        <v>41</v>
      </c>
      <c r="X45" s="258"/>
      <c r="Y45" s="272" t="s">
        <v>70</v>
      </c>
    </row>
    <row r="46" spans="2:41" s="2" customFormat="1" ht="13.5" customHeight="1" x14ac:dyDescent="0.25">
      <c r="B46" s="16"/>
      <c r="C46" s="111"/>
      <c r="D46" s="114" t="s">
        <v>132</v>
      </c>
      <c r="E46" s="114"/>
      <c r="F46" s="225" t="e">
        <f>IF(F34="nee",U52*F20,U52*F35)</f>
        <v>#N/A</v>
      </c>
      <c r="G46" s="125"/>
      <c r="H46" s="114"/>
      <c r="I46" s="116"/>
      <c r="J46" s="19"/>
      <c r="K46" s="259"/>
      <c r="L46" s="264" t="str">
        <f t="shared" si="0"/>
        <v>LB</v>
      </c>
      <c r="M46" s="265">
        <f t="shared" si="5"/>
        <v>54</v>
      </c>
      <c r="N46" s="265"/>
      <c r="O46" s="265" t="str">
        <f t="shared" si="1"/>
        <v>LA</v>
      </c>
      <c r="P46" s="265">
        <f t="shared" si="6"/>
        <v>56</v>
      </c>
      <c r="Q46" s="265"/>
      <c r="R46" s="267">
        <f t="shared" si="2"/>
        <v>0</v>
      </c>
      <c r="S46" s="267">
        <f t="shared" si="3"/>
        <v>0</v>
      </c>
      <c r="T46" s="265"/>
      <c r="U46" s="267">
        <f t="shared" si="4"/>
        <v>0</v>
      </c>
      <c r="V46" s="265"/>
      <c r="W46" s="266">
        <v>42</v>
      </c>
    </row>
    <row r="47" spans="2:41" ht="13.5" customHeight="1" x14ac:dyDescent="0.25">
      <c r="B47" s="16"/>
      <c r="C47" s="111"/>
      <c r="D47" s="120"/>
      <c r="E47" s="114"/>
      <c r="F47" s="250"/>
      <c r="G47" s="125"/>
      <c r="H47" s="114"/>
      <c r="I47" s="251"/>
      <c r="J47" s="77"/>
      <c r="K47" s="258"/>
      <c r="L47" s="264" t="str">
        <f t="shared" si="0"/>
        <v>LB</v>
      </c>
      <c r="M47" s="265">
        <f t="shared" si="5"/>
        <v>55</v>
      </c>
      <c r="N47" s="265"/>
      <c r="O47" s="265" t="str">
        <f t="shared" si="1"/>
        <v>LA</v>
      </c>
      <c r="P47" s="265">
        <f t="shared" si="6"/>
        <v>57</v>
      </c>
      <c r="Q47" s="265"/>
      <c r="R47" s="267">
        <f t="shared" si="2"/>
        <v>0</v>
      </c>
      <c r="S47" s="267">
        <f t="shared" si="3"/>
        <v>0</v>
      </c>
      <c r="T47" s="265"/>
      <c r="U47" s="267">
        <f t="shared" si="4"/>
        <v>0</v>
      </c>
      <c r="V47" s="265"/>
      <c r="W47" s="266">
        <v>43</v>
      </c>
    </row>
    <row r="48" spans="2:41" ht="13.5" customHeight="1" x14ac:dyDescent="0.25">
      <c r="B48" s="23"/>
      <c r="C48" s="117"/>
      <c r="D48" s="120" t="s">
        <v>181</v>
      </c>
      <c r="E48" s="120"/>
      <c r="F48" s="227" t="e">
        <f>+U51*F20</f>
        <v>#N/A</v>
      </c>
      <c r="G48" s="120"/>
      <c r="H48" s="120"/>
      <c r="I48" s="252"/>
      <c r="J48" s="78"/>
      <c r="K48" s="258"/>
      <c r="L48" s="264" t="str">
        <f t="shared" si="0"/>
        <v>LB</v>
      </c>
      <c r="M48" s="265">
        <f t="shared" si="5"/>
        <v>56</v>
      </c>
      <c r="N48" s="265"/>
      <c r="O48" s="265" t="str">
        <f t="shared" si="1"/>
        <v>LA</v>
      </c>
      <c r="P48" s="265">
        <f t="shared" si="6"/>
        <v>58</v>
      </c>
      <c r="Q48" s="265"/>
      <c r="R48" s="267">
        <f t="shared" si="2"/>
        <v>0</v>
      </c>
      <c r="S48" s="267">
        <f t="shared" si="3"/>
        <v>0</v>
      </c>
      <c r="T48" s="265"/>
      <c r="U48" s="267">
        <f t="shared" si="4"/>
        <v>0</v>
      </c>
      <c r="V48" s="265"/>
      <c r="W48" s="266">
        <v>44</v>
      </c>
    </row>
    <row r="49" spans="2:23" ht="13.5" customHeight="1" x14ac:dyDescent="0.25">
      <c r="B49" s="16"/>
      <c r="C49" s="128"/>
      <c r="D49" s="129"/>
      <c r="E49" s="129"/>
      <c r="F49" s="130"/>
      <c r="G49" s="129"/>
      <c r="H49" s="129"/>
      <c r="I49" s="253"/>
      <c r="J49" s="77"/>
      <c r="K49" s="258"/>
      <c r="L49" s="264" t="str">
        <f t="shared" si="0"/>
        <v>LB</v>
      </c>
      <c r="M49" s="265">
        <f t="shared" si="5"/>
        <v>57</v>
      </c>
      <c r="N49" s="265"/>
      <c r="O49" s="265" t="str">
        <f t="shared" si="1"/>
        <v>LA</v>
      </c>
      <c r="P49" s="265">
        <f t="shared" si="6"/>
        <v>59</v>
      </c>
      <c r="Q49" s="265"/>
      <c r="R49" s="267">
        <f t="shared" si="2"/>
        <v>0</v>
      </c>
      <c r="S49" s="267">
        <f t="shared" si="3"/>
        <v>0</v>
      </c>
      <c r="T49" s="265"/>
      <c r="U49" s="267">
        <f t="shared" si="4"/>
        <v>0</v>
      </c>
      <c r="V49" s="265"/>
      <c r="W49" s="266">
        <v>45</v>
      </c>
    </row>
    <row r="50" spans="2:23" ht="13.5" customHeight="1" x14ac:dyDescent="0.25">
      <c r="B50" s="16"/>
      <c r="C50" s="17"/>
      <c r="D50" s="17"/>
      <c r="E50" s="17"/>
      <c r="F50" s="18"/>
      <c r="G50" s="17"/>
      <c r="H50" s="17"/>
      <c r="I50" s="33"/>
      <c r="J50" s="77"/>
      <c r="K50" s="258"/>
      <c r="L50" s="264"/>
      <c r="M50" s="265"/>
      <c r="N50" s="265"/>
      <c r="O50" s="265"/>
      <c r="P50" s="265"/>
      <c r="Q50" s="265"/>
      <c r="R50" s="265"/>
      <c r="S50" s="265"/>
      <c r="T50" s="265"/>
      <c r="U50" s="265"/>
      <c r="V50" s="265"/>
      <c r="W50" s="266"/>
    </row>
    <row r="51" spans="2:23" ht="13.5" customHeight="1" x14ac:dyDescent="0.25">
      <c r="B51" s="16"/>
      <c r="C51" s="17"/>
      <c r="D51" s="17"/>
      <c r="E51" s="17"/>
      <c r="F51" s="18"/>
      <c r="G51" s="17"/>
      <c r="H51" s="17"/>
      <c r="I51" s="33"/>
      <c r="J51" s="77"/>
      <c r="K51" s="81"/>
      <c r="L51" s="264"/>
      <c r="M51" s="265"/>
      <c r="N51" s="265"/>
      <c r="O51" s="265"/>
      <c r="P51" s="265"/>
      <c r="Q51" s="265"/>
      <c r="R51" s="265"/>
      <c r="S51" s="265"/>
      <c r="T51" s="265"/>
      <c r="U51" s="267" t="e">
        <f>SUM(U4:U49)</f>
        <v>#N/A</v>
      </c>
      <c r="V51" s="265"/>
      <c r="W51" s="266"/>
    </row>
    <row r="52" spans="2:23" ht="13.5" customHeight="1" x14ac:dyDescent="0.25">
      <c r="B52" s="9"/>
      <c r="C52" s="10"/>
      <c r="D52" s="10"/>
      <c r="E52" s="10"/>
      <c r="F52" s="56"/>
      <c r="G52" s="10"/>
      <c r="H52" s="10"/>
      <c r="I52" s="82" t="s">
        <v>176</v>
      </c>
      <c r="J52" s="83"/>
      <c r="K52" s="81"/>
      <c r="L52" s="268"/>
      <c r="M52" s="269"/>
      <c r="N52" s="269"/>
      <c r="O52" s="269"/>
      <c r="P52" s="269"/>
      <c r="Q52" s="269"/>
      <c r="R52" s="269"/>
      <c r="S52" s="269" t="s">
        <v>31</v>
      </c>
      <c r="T52" s="269"/>
      <c r="U52" s="270" t="e">
        <f>IF(F45=0,0,+U51/F45)</f>
        <v>#N/A</v>
      </c>
      <c r="V52" s="269"/>
      <c r="W52" s="271"/>
    </row>
    <row r="53" spans="2:23" ht="13.5" customHeight="1" x14ac:dyDescent="0.25">
      <c r="I53" s="81"/>
      <c r="J53" s="81"/>
      <c r="K53" s="81"/>
    </row>
    <row r="54" spans="2:23" ht="13.5" customHeight="1" x14ac:dyDescent="0.25">
      <c r="I54" s="81"/>
      <c r="J54" s="81"/>
      <c r="L54" s="4"/>
      <c r="M54" s="4"/>
    </row>
    <row r="55" spans="2:23" ht="13.5" customHeight="1" x14ac:dyDescent="0.25">
      <c r="I55" s="81"/>
      <c r="J55" s="81"/>
      <c r="L55" s="4"/>
      <c r="M55" s="4"/>
    </row>
    <row r="56" spans="2:23" ht="13.5" customHeight="1" x14ac:dyDescent="0.25">
      <c r="I56" s="81"/>
      <c r="J56" s="81"/>
      <c r="L56" s="4"/>
      <c r="M56" s="4"/>
    </row>
    <row r="57" spans="2:23" ht="13.5" customHeight="1" x14ac:dyDescent="0.25">
      <c r="I57" s="81"/>
      <c r="J57" s="81"/>
      <c r="L57" s="4"/>
      <c r="M57" s="4"/>
    </row>
    <row r="58" spans="2:23" ht="13.5" customHeight="1" x14ac:dyDescent="0.25">
      <c r="I58" s="81"/>
      <c r="J58" s="81"/>
      <c r="L58" s="4"/>
      <c r="M58" s="4"/>
    </row>
    <row r="59" spans="2:23" ht="13.5" customHeight="1" x14ac:dyDescent="0.25">
      <c r="C59" s="94" t="s">
        <v>51</v>
      </c>
      <c r="I59" s="81"/>
      <c r="J59" s="81"/>
      <c r="L59" s="4"/>
      <c r="M59" s="4"/>
    </row>
    <row r="60" spans="2:23" ht="13.5" customHeight="1" x14ac:dyDescent="0.25">
      <c r="C60" s="94" t="s">
        <v>52</v>
      </c>
      <c r="I60" s="81"/>
      <c r="J60" s="81"/>
      <c r="L60" s="4"/>
      <c r="M60" s="4"/>
    </row>
    <row r="61" spans="2:23" ht="13.5" customHeight="1" x14ac:dyDescent="0.25">
      <c r="C61" s="94" t="s">
        <v>53</v>
      </c>
      <c r="I61" s="81"/>
      <c r="J61" s="81"/>
      <c r="L61" s="73"/>
      <c r="M61" s="73"/>
    </row>
    <row r="62" spans="2:23" ht="13.5" customHeight="1" x14ac:dyDescent="0.25">
      <c r="C62" s="279" t="s">
        <v>205</v>
      </c>
      <c r="I62" s="81"/>
      <c r="J62" s="81"/>
      <c r="L62" s="73"/>
      <c r="M62" s="73"/>
    </row>
    <row r="63" spans="2:23" ht="13.5" customHeight="1" x14ac:dyDescent="0.25">
      <c r="I63" s="81"/>
      <c r="J63" s="81"/>
      <c r="L63" s="4"/>
      <c r="M63" s="4"/>
    </row>
    <row r="64" spans="2:23" ht="13.5" customHeight="1" x14ac:dyDescent="0.25">
      <c r="I64" s="81"/>
      <c r="J64" s="81"/>
      <c r="L64" s="4"/>
      <c r="M64" s="4"/>
    </row>
    <row r="65" spans="9:13" ht="13.5" customHeight="1" x14ac:dyDescent="0.25">
      <c r="I65" s="81"/>
      <c r="J65" s="81"/>
      <c r="L65" s="4"/>
      <c r="M65" s="4"/>
    </row>
    <row r="66" spans="9:13" ht="13.5" customHeight="1" x14ac:dyDescent="0.25">
      <c r="I66" s="81"/>
      <c r="J66" s="81"/>
      <c r="L66" s="4"/>
      <c r="M66" s="4"/>
    </row>
    <row r="67" spans="9:13" ht="13.5" customHeight="1" x14ac:dyDescent="0.25">
      <c r="I67" s="81"/>
      <c r="J67" s="81"/>
      <c r="L67" s="4"/>
      <c r="M67" s="4"/>
    </row>
    <row r="68" spans="9:13" ht="13.5" customHeight="1" x14ac:dyDescent="0.25">
      <c r="I68" s="81"/>
      <c r="J68" s="81"/>
      <c r="L68" s="4"/>
      <c r="M68" s="4"/>
    </row>
    <row r="69" spans="9:13" ht="13.5" customHeight="1" x14ac:dyDescent="0.25">
      <c r="I69" s="81"/>
      <c r="J69" s="81"/>
      <c r="L69" s="4"/>
      <c r="M69" s="4"/>
    </row>
    <row r="70" spans="9:13" ht="13.5" customHeight="1" x14ac:dyDescent="0.25">
      <c r="I70" s="81"/>
      <c r="J70" s="81"/>
      <c r="L70" s="4"/>
      <c r="M70" s="4"/>
    </row>
    <row r="71" spans="9:13" ht="13.5" customHeight="1" x14ac:dyDescent="0.25">
      <c r="I71" s="81"/>
      <c r="J71" s="81"/>
      <c r="L71" s="4"/>
      <c r="M71" s="4"/>
    </row>
    <row r="72" spans="9:13" ht="13.5" customHeight="1" x14ac:dyDescent="0.25">
      <c r="I72" s="81"/>
      <c r="J72" s="81"/>
      <c r="L72" s="4"/>
      <c r="M72" s="4"/>
    </row>
    <row r="73" spans="9:13" ht="13.5" customHeight="1" x14ac:dyDescent="0.25">
      <c r="I73" s="81"/>
      <c r="J73" s="81"/>
      <c r="L73" s="4"/>
      <c r="M73" s="4"/>
    </row>
    <row r="74" spans="9:13" ht="13.5" customHeight="1" x14ac:dyDescent="0.25">
      <c r="I74" s="81"/>
      <c r="J74" s="81"/>
      <c r="L74" s="4"/>
      <c r="M74" s="4"/>
    </row>
    <row r="75" spans="9:13" ht="13.5" customHeight="1" x14ac:dyDescent="0.25">
      <c r="I75" s="81"/>
      <c r="J75" s="81"/>
      <c r="L75" s="4"/>
      <c r="M75" s="4"/>
    </row>
    <row r="76" spans="9:13" ht="13.5" customHeight="1" x14ac:dyDescent="0.25">
      <c r="I76" s="81"/>
      <c r="J76" s="81"/>
      <c r="L76" s="4"/>
      <c r="M76" s="4"/>
    </row>
    <row r="77" spans="9:13" ht="13.5" customHeight="1" x14ac:dyDescent="0.25">
      <c r="I77" s="81"/>
      <c r="J77" s="81"/>
      <c r="L77" s="4"/>
      <c r="M77" s="4"/>
    </row>
    <row r="78" spans="9:13" ht="13.5" customHeight="1" x14ac:dyDescent="0.25">
      <c r="I78" s="81"/>
      <c r="J78" s="81"/>
      <c r="L78" s="4"/>
      <c r="M78" s="4"/>
    </row>
    <row r="79" spans="9:13" ht="13.5" customHeight="1" x14ac:dyDescent="0.25">
      <c r="I79" s="81"/>
      <c r="J79" s="81"/>
      <c r="L79" s="4"/>
      <c r="M79" s="4"/>
    </row>
    <row r="80" spans="9:13" ht="13.5" customHeight="1" x14ac:dyDescent="0.25">
      <c r="I80" s="81"/>
      <c r="J80" s="81"/>
      <c r="L80" s="4"/>
      <c r="M80" s="4"/>
    </row>
    <row r="81" spans="9:13" ht="13.5" customHeight="1" x14ac:dyDescent="0.25">
      <c r="I81" s="81"/>
      <c r="J81" s="81"/>
      <c r="L81" s="4"/>
      <c r="M81" s="4"/>
    </row>
    <row r="82" spans="9:13" ht="13.5" customHeight="1" x14ac:dyDescent="0.25">
      <c r="I82" s="81"/>
      <c r="J82" s="81"/>
      <c r="L82" s="4"/>
      <c r="M82" s="4"/>
    </row>
    <row r="83" spans="9:13" ht="13.5" customHeight="1" x14ac:dyDescent="0.25">
      <c r="I83" s="81"/>
      <c r="J83" s="81"/>
      <c r="L83" s="4"/>
      <c r="M83" s="4"/>
    </row>
    <row r="84" spans="9:13" ht="13.5" customHeight="1" x14ac:dyDescent="0.25">
      <c r="I84" s="81"/>
      <c r="J84" s="81"/>
      <c r="L84" s="4"/>
      <c r="M84" s="4"/>
    </row>
    <row r="85" spans="9:13" ht="13.5" customHeight="1" x14ac:dyDescent="0.25">
      <c r="I85" s="81"/>
      <c r="J85" s="81"/>
      <c r="L85" s="4"/>
      <c r="M85" s="4"/>
    </row>
    <row r="86" spans="9:13" ht="13.5" customHeight="1" x14ac:dyDescent="0.25">
      <c r="I86" s="81"/>
      <c r="J86" s="81"/>
      <c r="L86" s="4"/>
      <c r="M86" s="4"/>
    </row>
    <row r="87" spans="9:13" ht="13.5" customHeight="1" x14ac:dyDescent="0.25">
      <c r="I87" s="81"/>
      <c r="J87" s="81"/>
      <c r="L87" s="4"/>
      <c r="M87" s="4"/>
    </row>
    <row r="88" spans="9:13" ht="13.5" customHeight="1" x14ac:dyDescent="0.25">
      <c r="I88" s="81"/>
      <c r="J88" s="81"/>
      <c r="L88" s="4"/>
      <c r="M88" s="4"/>
    </row>
    <row r="89" spans="9:13" ht="13.5" customHeight="1" x14ac:dyDescent="0.25">
      <c r="I89" s="81"/>
      <c r="J89" s="81"/>
      <c r="L89" s="4"/>
      <c r="M89" s="4"/>
    </row>
    <row r="90" spans="9:13" ht="13.5" customHeight="1" x14ac:dyDescent="0.25">
      <c r="I90" s="81"/>
      <c r="J90" s="81"/>
      <c r="L90" s="4"/>
      <c r="M90" s="4"/>
    </row>
    <row r="91" spans="9:13" ht="13.5" customHeight="1" x14ac:dyDescent="0.25">
      <c r="I91" s="81"/>
      <c r="J91" s="81"/>
      <c r="L91" s="4"/>
      <c r="M91" s="4"/>
    </row>
    <row r="92" spans="9:13" ht="13.5" customHeight="1" x14ac:dyDescent="0.25">
      <c r="I92" s="81"/>
      <c r="J92" s="81"/>
      <c r="L92" s="4"/>
      <c r="M92" s="4"/>
    </row>
    <row r="93" spans="9:13" ht="13.5" customHeight="1" x14ac:dyDescent="0.25">
      <c r="I93" s="81"/>
      <c r="J93" s="81"/>
      <c r="L93" s="4"/>
      <c r="M93" s="4"/>
    </row>
    <row r="94" spans="9:13" ht="13.5" customHeight="1" x14ac:dyDescent="0.25">
      <c r="I94" s="81"/>
      <c r="J94" s="81"/>
      <c r="L94" s="4"/>
      <c r="M94" s="4"/>
    </row>
    <row r="95" spans="9:13" ht="13.5" customHeight="1" x14ac:dyDescent="0.25">
      <c r="I95" s="81"/>
      <c r="J95" s="81"/>
      <c r="L95" s="4"/>
      <c r="M95" s="4"/>
    </row>
    <row r="96" spans="9:13" ht="13.5" customHeight="1" x14ac:dyDescent="0.25">
      <c r="I96" s="81"/>
      <c r="J96" s="81"/>
      <c r="L96" s="4"/>
      <c r="M96" s="4"/>
    </row>
    <row r="97" spans="6:10" ht="13.5" customHeight="1" x14ac:dyDescent="0.25">
      <c r="F97" s="89"/>
      <c r="G97" s="93"/>
      <c r="I97" s="81"/>
      <c r="J97" s="81"/>
    </row>
    <row r="98" spans="6:10" ht="13.5" customHeight="1" x14ac:dyDescent="0.25">
      <c r="F98" s="89"/>
      <c r="G98" s="93"/>
      <c r="I98" s="81"/>
      <c r="J98" s="81"/>
    </row>
    <row r="99" spans="6:10" ht="13.5" customHeight="1" x14ac:dyDescent="0.25">
      <c r="F99" s="89"/>
      <c r="G99" s="93"/>
      <c r="I99" s="81"/>
      <c r="J99" s="81"/>
    </row>
    <row r="100" spans="6:10" ht="13.5" customHeight="1" x14ac:dyDescent="0.25">
      <c r="F100" s="89"/>
      <c r="G100" s="93"/>
      <c r="I100" s="81"/>
      <c r="J100" s="81"/>
    </row>
    <row r="101" spans="6:10" ht="13.5" customHeight="1" x14ac:dyDescent="0.25">
      <c r="F101" s="88"/>
      <c r="G101" s="81"/>
      <c r="I101" s="81"/>
      <c r="J101" s="81"/>
    </row>
    <row r="102" spans="6:10" ht="13.5" customHeight="1" x14ac:dyDescent="0.25">
      <c r="F102" s="89"/>
      <c r="G102" s="81"/>
      <c r="I102" s="81"/>
      <c r="J102" s="81"/>
    </row>
    <row r="103" spans="6:10" ht="13.5" customHeight="1" x14ac:dyDescent="0.25">
      <c r="F103" s="75"/>
      <c r="I103" s="81"/>
      <c r="J103" s="81"/>
    </row>
    <row r="104" spans="6:10" ht="13.5" customHeight="1" x14ac:dyDescent="0.25">
      <c r="I104" s="81"/>
      <c r="J104" s="81"/>
    </row>
    <row r="105" spans="6:10" ht="13.5" customHeight="1" x14ac:dyDescent="0.25">
      <c r="I105" s="81"/>
      <c r="J105" s="81"/>
    </row>
  </sheetData>
  <sheetProtection password="DFB1" sheet="1"/>
  <mergeCells count="1">
    <mergeCell ref="F9:G9"/>
  </mergeCells>
  <phoneticPr fontId="0" type="noConversion"/>
  <dataValidations count="3">
    <dataValidation type="list" allowBlank="1" showInputMessage="1" showErrorMessage="1" sqref="F34">
      <formula1>#REF!</formula1>
    </dataValidation>
    <dataValidation type="list" allowBlank="1" showInputMessage="1" showErrorMessage="1" sqref="F30 F16">
      <formula1>$Y$2:$Y$45</formula1>
    </dataValidation>
    <dataValidation type="list" allowBlank="1" showInputMessage="1" showErrorMessage="1" sqref="F10">
      <formula1>$C$59:$C$62</formula1>
    </dataValidation>
  </dataValidations>
  <printOptions gridLines="1"/>
  <pageMargins left="0.74803149606299213" right="0.74803149606299213" top="0.98425196850393704" bottom="0.98425196850393704" header="0.51181102362204722" footer="0.51181102362204722"/>
  <pageSetup paperSize="9" scale="85" orientation="portrait" r:id="rId1"/>
  <headerFooter alignWithMargins="0">
    <oddHeader>&amp;L&amp;"Arial,Vet"&amp;A&amp;C&amp;"Arial,Vet"&amp;D&amp;R&amp;"Arial,Vet"&amp;F</oddHeader>
    <oddFooter>&amp;L&amp;"Arial,Vet"&amp;8gemaakt door keizer, PO-Raad&amp;R&amp;"Arial,Vet"&amp;P</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W136"/>
  <sheetViews>
    <sheetView topLeftCell="A13" zoomScale="85" zoomScaleNormal="85" workbookViewId="0">
      <selection activeCell="B2" sqref="B2"/>
    </sheetView>
  </sheetViews>
  <sheetFormatPr defaultColWidth="9.7109375" defaultRowHeight="13.5" customHeight="1" x14ac:dyDescent="0.25"/>
  <cols>
    <col min="1" max="1" width="3.7109375" style="1" customWidth="1"/>
    <col min="2" max="2" width="2.7109375" style="1" customWidth="1"/>
    <col min="3" max="3" width="2.5703125" style="1" customWidth="1"/>
    <col min="4" max="4" width="45.7109375" style="1" customWidth="1"/>
    <col min="5" max="5" width="2.85546875" style="1" customWidth="1"/>
    <col min="6" max="7" width="14.85546875" style="1" customWidth="1"/>
    <col min="8" max="8" width="14.42578125" style="1" customWidth="1"/>
    <col min="9" max="10" width="2.7109375" style="1" customWidth="1"/>
    <col min="11" max="49" width="10.7109375" style="1" customWidth="1"/>
    <col min="50" max="16384" width="9.7109375" style="1"/>
  </cols>
  <sheetData>
    <row r="2" spans="2:15" ht="13.5" customHeight="1" x14ac:dyDescent="0.25">
      <c r="B2" s="12"/>
      <c r="C2" s="13"/>
      <c r="D2" s="13"/>
      <c r="E2" s="13"/>
      <c r="F2" s="13"/>
      <c r="G2" s="13"/>
      <c r="H2" s="13"/>
      <c r="I2" s="13"/>
      <c r="J2" s="15"/>
    </row>
    <row r="3" spans="2:15" ht="13.5" customHeight="1" x14ac:dyDescent="0.25">
      <c r="B3" s="16"/>
      <c r="C3" s="17"/>
      <c r="D3" s="17"/>
      <c r="E3" s="17"/>
      <c r="F3" s="17"/>
      <c r="G3" s="17"/>
      <c r="H3" s="17"/>
      <c r="I3" s="17"/>
      <c r="J3" s="19"/>
    </row>
    <row r="4" spans="2:15" s="8" customFormat="1" ht="18" customHeight="1" x14ac:dyDescent="0.3">
      <c r="B4" s="29"/>
      <c r="C4" s="60" t="s">
        <v>183</v>
      </c>
      <c r="D4" s="72"/>
      <c r="E4" s="72"/>
      <c r="F4" s="62" t="str">
        <f>tabellen!B2</f>
        <v>2018/2019</v>
      </c>
      <c r="G4" s="60"/>
      <c r="H4" s="72"/>
      <c r="I4" s="72"/>
      <c r="J4" s="32"/>
    </row>
    <row r="5" spans="2:15" ht="13.5" customHeight="1" x14ac:dyDescent="0.25">
      <c r="B5" s="16"/>
      <c r="C5" s="17"/>
      <c r="D5" s="28"/>
      <c r="E5" s="17"/>
      <c r="F5" s="17"/>
      <c r="G5" s="17"/>
      <c r="H5" s="17"/>
      <c r="I5" s="17"/>
      <c r="J5" s="19"/>
    </row>
    <row r="6" spans="2:15" ht="13.5" customHeight="1" x14ac:dyDescent="0.25">
      <c r="B6" s="16"/>
      <c r="C6" s="17"/>
      <c r="D6" s="28"/>
      <c r="E6" s="17"/>
      <c r="F6" s="17"/>
      <c r="G6" s="17"/>
      <c r="H6" s="17"/>
      <c r="I6" s="17"/>
      <c r="J6" s="19"/>
    </row>
    <row r="7" spans="2:15" ht="13.5" customHeight="1" x14ac:dyDescent="0.25">
      <c r="B7" s="16"/>
      <c r="C7" s="106"/>
      <c r="D7" s="132"/>
      <c r="E7" s="107"/>
      <c r="F7" s="107"/>
      <c r="G7" s="107"/>
      <c r="H7" s="107"/>
      <c r="I7" s="110"/>
      <c r="J7" s="19"/>
    </row>
    <row r="8" spans="2:15" ht="13.5" customHeight="1" x14ac:dyDescent="0.25">
      <c r="B8" s="16"/>
      <c r="C8" s="117"/>
      <c r="D8" s="112" t="s">
        <v>135</v>
      </c>
      <c r="E8" s="114"/>
      <c r="F8" s="114"/>
      <c r="G8" s="114"/>
      <c r="H8" s="114"/>
      <c r="I8" s="116"/>
      <c r="J8" s="19"/>
    </row>
    <row r="9" spans="2:15" ht="13.5" customHeight="1" x14ac:dyDescent="0.25">
      <c r="B9" s="16"/>
      <c r="C9" s="117"/>
      <c r="D9" s="120"/>
      <c r="E9" s="114"/>
      <c r="F9" s="114"/>
      <c r="G9" s="114"/>
      <c r="H9" s="114"/>
      <c r="I9" s="116"/>
      <c r="J9" s="19"/>
    </row>
    <row r="10" spans="2:15" ht="13.5" customHeight="1" x14ac:dyDescent="0.25">
      <c r="B10" s="16"/>
      <c r="C10" s="111"/>
      <c r="D10" s="114" t="s">
        <v>92</v>
      </c>
      <c r="E10" s="114"/>
      <c r="F10" s="695" t="s">
        <v>32</v>
      </c>
      <c r="G10" s="695"/>
      <c r="H10" s="114"/>
      <c r="I10" s="116"/>
      <c r="J10" s="19"/>
      <c r="O10" s="5"/>
    </row>
    <row r="11" spans="2:15" ht="13.5" customHeight="1" x14ac:dyDescent="0.25">
      <c r="B11" s="16"/>
      <c r="C11" s="111"/>
      <c r="D11" s="120"/>
      <c r="E11" s="114"/>
      <c r="F11" s="139"/>
      <c r="G11" s="139"/>
      <c r="H11" s="114"/>
      <c r="I11" s="116"/>
      <c r="J11" s="19"/>
      <c r="O11" s="5"/>
    </row>
    <row r="12" spans="2:15" ht="13.5" customHeight="1" x14ac:dyDescent="0.25">
      <c r="B12" s="16"/>
      <c r="C12" s="111"/>
      <c r="D12" s="120" t="s">
        <v>23</v>
      </c>
      <c r="E12" s="114"/>
      <c r="F12" s="114"/>
      <c r="G12" s="114"/>
      <c r="H12" s="114"/>
      <c r="I12" s="116"/>
      <c r="J12" s="19"/>
      <c r="O12" s="5"/>
    </row>
    <row r="13" spans="2:15" ht="13.5" customHeight="1" x14ac:dyDescent="0.25">
      <c r="B13" s="16"/>
      <c r="C13" s="111"/>
      <c r="D13" s="114" t="s">
        <v>21</v>
      </c>
      <c r="E13" s="114"/>
      <c r="F13" s="118" t="s">
        <v>0</v>
      </c>
      <c r="G13" s="114"/>
      <c r="H13" s="114"/>
      <c r="I13" s="116"/>
      <c r="J13" s="19"/>
    </row>
    <row r="14" spans="2:15" ht="13.5" customHeight="1" x14ac:dyDescent="0.25">
      <c r="B14" s="16"/>
      <c r="C14" s="111"/>
      <c r="D14" s="114" t="s">
        <v>22</v>
      </c>
      <c r="E14" s="114"/>
      <c r="F14" s="118">
        <v>10</v>
      </c>
      <c r="G14" s="218" t="s">
        <v>123</v>
      </c>
      <c r="H14" s="219" t="e">
        <f>VLOOKUP(F13,saltab2016,22,FALSE)</f>
        <v>#N/A</v>
      </c>
      <c r="I14" s="116"/>
      <c r="J14" s="19"/>
    </row>
    <row r="15" spans="2:15" ht="13.5" customHeight="1" x14ac:dyDescent="0.25">
      <c r="B15" s="16"/>
      <c r="C15" s="111"/>
      <c r="D15" s="114" t="s">
        <v>24</v>
      </c>
      <c r="E15" s="114"/>
      <c r="F15" s="274" t="e">
        <f>VLOOKUP(F13,saltab2016,F14+1,FALSE)</f>
        <v>#N/A</v>
      </c>
      <c r="G15" s="114"/>
      <c r="H15" s="114"/>
      <c r="I15" s="116"/>
      <c r="J15" s="19"/>
    </row>
    <row r="16" spans="2:15" ht="13.5" customHeight="1" x14ac:dyDescent="0.25">
      <c r="B16" s="16"/>
      <c r="C16" s="111"/>
      <c r="D16" s="120" t="s">
        <v>25</v>
      </c>
      <c r="E16" s="114"/>
      <c r="F16" s="220">
        <v>1</v>
      </c>
      <c r="G16" s="114"/>
      <c r="H16" s="114"/>
      <c r="I16" s="116"/>
      <c r="J16" s="19"/>
    </row>
    <row r="17" spans="2:13" ht="13.5" customHeight="1" x14ac:dyDescent="0.25">
      <c r="B17" s="16"/>
      <c r="C17" s="111"/>
      <c r="D17" s="114" t="s">
        <v>26</v>
      </c>
      <c r="E17" s="114"/>
      <c r="F17" s="273" t="e">
        <f>+F15*F16</f>
        <v>#N/A</v>
      </c>
      <c r="G17" s="114"/>
      <c r="H17" s="114"/>
      <c r="I17" s="116"/>
      <c r="J17" s="19"/>
    </row>
    <row r="18" spans="2:13" ht="13.5" customHeight="1" x14ac:dyDescent="0.25">
      <c r="B18" s="16"/>
      <c r="C18" s="111"/>
      <c r="D18" s="114"/>
      <c r="E18" s="114"/>
      <c r="F18" s="113"/>
      <c r="G18" s="114"/>
      <c r="H18" s="114"/>
      <c r="I18" s="116"/>
      <c r="J18" s="19"/>
    </row>
    <row r="19" spans="2:13" ht="13.5" customHeight="1" x14ac:dyDescent="0.25">
      <c r="B19" s="16"/>
      <c r="C19" s="111"/>
      <c r="D19" s="120" t="s">
        <v>136</v>
      </c>
      <c r="E19" s="114"/>
      <c r="F19" s="113"/>
      <c r="G19" s="114"/>
      <c r="H19" s="114"/>
      <c r="I19" s="116"/>
      <c r="J19" s="19"/>
    </row>
    <row r="20" spans="2:13" ht="13.5" customHeight="1" x14ac:dyDescent="0.25">
      <c r="B20" s="16"/>
      <c r="C20" s="111"/>
      <c r="D20" s="114" t="s">
        <v>137</v>
      </c>
      <c r="E20" s="114"/>
      <c r="F20" s="118" t="s">
        <v>94</v>
      </c>
      <c r="G20" s="114"/>
      <c r="H20" s="114"/>
      <c r="I20" s="116"/>
      <c r="J20" s="19"/>
    </row>
    <row r="21" spans="2:13" ht="13.5" customHeight="1" x14ac:dyDescent="0.25">
      <c r="B21" s="16"/>
      <c r="C21" s="111"/>
      <c r="D21" s="114" t="s">
        <v>138</v>
      </c>
      <c r="E21" s="114"/>
      <c r="F21" s="118" t="s">
        <v>94</v>
      </c>
      <c r="G21" s="114"/>
      <c r="H21" s="114"/>
      <c r="I21" s="116"/>
      <c r="J21" s="19"/>
    </row>
    <row r="22" spans="2:13" ht="13.5" customHeight="1" x14ac:dyDescent="0.25">
      <c r="B22" s="16"/>
      <c r="C22" s="111"/>
      <c r="D22" s="114" t="s">
        <v>139</v>
      </c>
      <c r="E22" s="114"/>
      <c r="F22" s="118" t="s">
        <v>91</v>
      </c>
      <c r="G22" s="115"/>
      <c r="H22" s="115"/>
      <c r="I22" s="221"/>
      <c r="J22" s="27"/>
      <c r="K22" s="3"/>
      <c r="L22" s="3"/>
      <c r="M22" s="3"/>
    </row>
    <row r="23" spans="2:13" ht="13.5" customHeight="1" x14ac:dyDescent="0.25">
      <c r="B23" s="16"/>
      <c r="C23" s="111"/>
      <c r="D23" s="114" t="s">
        <v>140</v>
      </c>
      <c r="E23" s="114"/>
      <c r="F23" s="118">
        <v>2</v>
      </c>
      <c r="G23" s="115"/>
      <c r="H23" s="115"/>
      <c r="I23" s="221"/>
      <c r="J23" s="27"/>
      <c r="K23" s="3"/>
      <c r="L23" s="3"/>
      <c r="M23" s="3"/>
    </row>
    <row r="24" spans="2:13" ht="13.5" customHeight="1" x14ac:dyDescent="0.25">
      <c r="B24" s="16"/>
      <c r="C24" s="111"/>
      <c r="D24" s="114"/>
      <c r="E24" s="114"/>
      <c r="F24" s="113"/>
      <c r="G24" s="115"/>
      <c r="H24" s="115"/>
      <c r="I24" s="221"/>
      <c r="J24" s="27"/>
      <c r="K24" s="3"/>
      <c r="L24" s="3"/>
      <c r="M24" s="3"/>
    </row>
    <row r="25" spans="2:13" ht="13.5" customHeight="1" x14ac:dyDescent="0.25">
      <c r="B25" s="16"/>
      <c r="C25" s="111"/>
      <c r="D25" s="114" t="s">
        <v>141</v>
      </c>
      <c r="E25" s="114"/>
      <c r="F25" s="169" t="e">
        <f>IF(F14+F23&gt;H14,"verkeerde invoer",(VLOOKUP(F13,saltab2016,F14+F23+1,FALSE)-VLOOKUP(F13,saltab2016,F14+1,FALSE))*F16)</f>
        <v>#N/A</v>
      </c>
      <c r="G25" s="115"/>
      <c r="H25" s="115"/>
      <c r="I25" s="221"/>
      <c r="J25" s="27"/>
      <c r="K25" s="3"/>
      <c r="L25" s="3"/>
      <c r="M25" s="3"/>
    </row>
    <row r="26" spans="2:13" ht="13.5" customHeight="1" x14ac:dyDescent="0.25">
      <c r="B26" s="16"/>
      <c r="C26" s="111"/>
      <c r="D26" s="114" t="s">
        <v>129</v>
      </c>
      <c r="E26" s="114"/>
      <c r="F26" s="206">
        <v>0.59</v>
      </c>
      <c r="G26" s="115"/>
      <c r="H26" s="115"/>
      <c r="I26" s="221"/>
      <c r="J26" s="27"/>
      <c r="K26" s="3"/>
      <c r="L26" s="3"/>
      <c r="M26" s="3"/>
    </row>
    <row r="27" spans="2:13" ht="13.5" customHeight="1" x14ac:dyDescent="0.25">
      <c r="B27" s="16"/>
      <c r="C27" s="111"/>
      <c r="D27" s="114" t="s">
        <v>130</v>
      </c>
      <c r="E27" s="114"/>
      <c r="F27" s="273" t="e">
        <f>+F25*12*(1+F26)</f>
        <v>#N/A</v>
      </c>
      <c r="G27" s="115"/>
      <c r="H27" s="115"/>
      <c r="I27" s="221"/>
      <c r="J27" s="27"/>
      <c r="K27" s="3"/>
      <c r="L27" s="3"/>
      <c r="M27" s="3"/>
    </row>
    <row r="28" spans="2:13" ht="13.5" customHeight="1" x14ac:dyDescent="0.25">
      <c r="B28" s="16"/>
      <c r="C28" s="111"/>
      <c r="D28" s="114" t="s">
        <v>142</v>
      </c>
      <c r="E28" s="114"/>
      <c r="F28" s="224" t="e">
        <f>IF(F23=0,0,+(H14-F14))</f>
        <v>#N/A</v>
      </c>
      <c r="G28" s="115"/>
      <c r="H28" s="115"/>
      <c r="I28" s="221"/>
      <c r="J28" s="27"/>
      <c r="K28" s="3"/>
      <c r="L28" s="3"/>
      <c r="M28" s="3"/>
    </row>
    <row r="29" spans="2:13" ht="13.5" customHeight="1" x14ac:dyDescent="0.25">
      <c r="B29" s="16"/>
      <c r="C29" s="111"/>
      <c r="D29" s="114" t="s">
        <v>132</v>
      </c>
      <c r="E29" s="114"/>
      <c r="F29" s="225" t="e">
        <f>+U79*F16</f>
        <v>#N/A</v>
      </c>
      <c r="G29" s="125"/>
      <c r="H29" s="115"/>
      <c r="I29" s="221"/>
      <c r="J29" s="19"/>
    </row>
    <row r="30" spans="2:13" ht="13.5" customHeight="1" x14ac:dyDescent="0.25">
      <c r="B30" s="16"/>
      <c r="C30" s="111"/>
      <c r="D30" s="114"/>
      <c r="E30" s="114"/>
      <c r="F30" s="226"/>
      <c r="G30" s="125"/>
      <c r="H30" s="115"/>
      <c r="I30" s="221"/>
      <c r="J30" s="19"/>
    </row>
    <row r="31" spans="2:13" ht="13.5" customHeight="1" x14ac:dyDescent="0.25">
      <c r="B31" s="16"/>
      <c r="C31" s="111"/>
      <c r="D31" s="120" t="s">
        <v>143</v>
      </c>
      <c r="E31" s="114"/>
      <c r="F31" s="227" t="e">
        <f>+U78*F16</f>
        <v>#N/A</v>
      </c>
      <c r="G31" s="114"/>
      <c r="H31" s="115"/>
      <c r="I31" s="221"/>
      <c r="J31" s="19"/>
    </row>
    <row r="32" spans="2:13" ht="13.5" customHeight="1" x14ac:dyDescent="0.25">
      <c r="B32" s="16"/>
      <c r="C32" s="128"/>
      <c r="D32" s="129"/>
      <c r="E32" s="129"/>
      <c r="F32" s="129"/>
      <c r="G32" s="129"/>
      <c r="H32" s="150"/>
      <c r="I32" s="222"/>
      <c r="J32" s="19"/>
    </row>
    <row r="33" spans="2:10" ht="13.5" customHeight="1" x14ac:dyDescent="0.25">
      <c r="B33" s="16"/>
      <c r="C33" s="17"/>
      <c r="D33" s="17"/>
      <c r="E33" s="17"/>
      <c r="F33" s="17"/>
      <c r="G33" s="17"/>
      <c r="H33" s="20"/>
      <c r="I33" s="20"/>
      <c r="J33" s="19"/>
    </row>
    <row r="34" spans="2:10" ht="13.5" customHeight="1" x14ac:dyDescent="0.25">
      <c r="B34" s="16"/>
      <c r="C34" s="106"/>
      <c r="D34" s="107"/>
      <c r="E34" s="107"/>
      <c r="F34" s="107"/>
      <c r="G34" s="107"/>
      <c r="H34" s="109"/>
      <c r="I34" s="223"/>
      <c r="J34" s="19"/>
    </row>
    <row r="35" spans="2:10" ht="13.5" customHeight="1" x14ac:dyDescent="0.25">
      <c r="B35" s="16"/>
      <c r="C35" s="111"/>
      <c r="D35" s="136" t="s">
        <v>144</v>
      </c>
      <c r="E35" s="115"/>
      <c r="F35" s="115"/>
      <c r="G35" s="115"/>
      <c r="H35" s="115"/>
      <c r="I35" s="221"/>
      <c r="J35" s="19"/>
    </row>
    <row r="36" spans="2:10" ht="13.5" customHeight="1" x14ac:dyDescent="0.25">
      <c r="B36" s="16"/>
      <c r="C36" s="111"/>
      <c r="D36" s="136"/>
      <c r="E36" s="115"/>
      <c r="F36" s="115"/>
      <c r="G36" s="115"/>
      <c r="H36" s="115"/>
      <c r="I36" s="221"/>
      <c r="J36" s="19"/>
    </row>
    <row r="37" spans="2:10" ht="13.5" customHeight="1" x14ac:dyDescent="0.25">
      <c r="B37" s="16"/>
      <c r="C37" s="111"/>
      <c r="D37" s="115" t="s">
        <v>151</v>
      </c>
      <c r="E37" s="114"/>
      <c r="F37" s="138" t="s">
        <v>145</v>
      </c>
      <c r="G37" s="138"/>
      <c r="H37" s="139"/>
      <c r="I37" s="221"/>
      <c r="J37" s="19"/>
    </row>
    <row r="38" spans="2:10" ht="13.5" customHeight="1" x14ac:dyDescent="0.25">
      <c r="B38" s="16"/>
      <c r="C38" s="111"/>
      <c r="D38" s="115"/>
      <c r="E38" s="114"/>
      <c r="F38" s="228"/>
      <c r="G38" s="139"/>
      <c r="H38" s="139"/>
      <c r="I38" s="221"/>
      <c r="J38" s="19"/>
    </row>
    <row r="39" spans="2:10" ht="13.5" customHeight="1" x14ac:dyDescent="0.25">
      <c r="B39" s="16"/>
      <c r="C39" s="111"/>
      <c r="D39" s="176" t="s">
        <v>107</v>
      </c>
      <c r="E39" s="115"/>
      <c r="F39" s="115"/>
      <c r="G39" s="115"/>
      <c r="H39" s="115"/>
      <c r="I39" s="221"/>
      <c r="J39" s="19"/>
    </row>
    <row r="40" spans="2:10" ht="13.5" customHeight="1" x14ac:dyDescent="0.25">
      <c r="B40" s="16"/>
      <c r="C40" s="111"/>
      <c r="D40" s="115" t="s">
        <v>108</v>
      </c>
      <c r="E40" s="115"/>
      <c r="F40" s="202">
        <v>500</v>
      </c>
      <c r="G40" s="115"/>
      <c r="H40" s="115"/>
      <c r="I40" s="221"/>
      <c r="J40" s="19"/>
    </row>
    <row r="41" spans="2:10" ht="13.5" customHeight="1" x14ac:dyDescent="0.25">
      <c r="B41" s="16"/>
      <c r="C41" s="111"/>
      <c r="D41" s="115" t="s">
        <v>110</v>
      </c>
      <c r="E41" s="115"/>
      <c r="F41" s="206">
        <v>0.73899999999999999</v>
      </c>
      <c r="G41" s="115"/>
      <c r="H41" s="115"/>
      <c r="I41" s="221"/>
      <c r="J41" s="19"/>
    </row>
    <row r="42" spans="2:10" ht="13.5" customHeight="1" x14ac:dyDescent="0.25">
      <c r="B42" s="16"/>
      <c r="C42" s="111"/>
      <c r="D42" s="115" t="s">
        <v>146</v>
      </c>
      <c r="E42" s="115"/>
      <c r="F42" s="229">
        <f>ROUND(+F40*F41,0)</f>
        <v>370</v>
      </c>
      <c r="G42" s="115"/>
      <c r="H42" s="115"/>
      <c r="I42" s="221"/>
      <c r="J42" s="19"/>
    </row>
    <row r="43" spans="2:10" ht="13.5" customHeight="1" x14ac:dyDescent="0.25">
      <c r="B43" s="16"/>
      <c r="C43" s="111"/>
      <c r="D43" s="115"/>
      <c r="E43" s="115"/>
      <c r="F43" s="127"/>
      <c r="G43" s="115"/>
      <c r="H43" s="115"/>
      <c r="I43" s="221"/>
      <c r="J43" s="19"/>
    </row>
    <row r="44" spans="2:10" ht="13.5" customHeight="1" x14ac:dyDescent="0.25">
      <c r="B44" s="16"/>
      <c r="C44" s="111"/>
      <c r="D44" s="115" t="s">
        <v>147</v>
      </c>
      <c r="E44" s="115"/>
      <c r="F44" s="230">
        <v>0.02</v>
      </c>
      <c r="G44" s="115"/>
      <c r="H44" s="115"/>
      <c r="I44" s="231"/>
      <c r="J44" s="77"/>
    </row>
    <row r="45" spans="2:10" ht="13.5" customHeight="1" x14ac:dyDescent="0.25">
      <c r="B45" s="16"/>
      <c r="C45" s="111"/>
      <c r="D45" s="115" t="s">
        <v>146</v>
      </c>
      <c r="E45" s="115"/>
      <c r="F45" s="210">
        <f>ROUND(+F42*F44,0)</f>
        <v>7</v>
      </c>
      <c r="G45" s="115"/>
      <c r="H45" s="115"/>
      <c r="I45" s="231"/>
      <c r="J45" s="77"/>
    </row>
    <row r="46" spans="2:10" ht="13.5" customHeight="1" x14ac:dyDescent="0.25">
      <c r="B46" s="16"/>
      <c r="C46" s="111"/>
      <c r="D46" s="115" t="s">
        <v>148</v>
      </c>
      <c r="E46" s="115"/>
      <c r="F46" s="232">
        <v>2400</v>
      </c>
      <c r="G46" s="115"/>
      <c r="H46" s="115"/>
      <c r="I46" s="231"/>
      <c r="J46" s="77"/>
    </row>
    <row r="47" spans="2:10" ht="13.5" customHeight="1" x14ac:dyDescent="0.25">
      <c r="B47" s="16"/>
      <c r="C47" s="111"/>
      <c r="D47" s="115"/>
      <c r="E47" s="115"/>
      <c r="F47" s="233"/>
      <c r="G47" s="115"/>
      <c r="H47" s="115"/>
      <c r="I47" s="231"/>
      <c r="J47" s="77"/>
    </row>
    <row r="48" spans="2:10" s="2" customFormat="1" ht="13.5" customHeight="1" x14ac:dyDescent="0.25">
      <c r="B48" s="23"/>
      <c r="C48" s="117"/>
      <c r="D48" s="142" t="s">
        <v>149</v>
      </c>
      <c r="E48" s="142"/>
      <c r="F48" s="214">
        <f>+F45*F46</f>
        <v>16800</v>
      </c>
      <c r="G48" s="142"/>
      <c r="H48" s="142"/>
      <c r="I48" s="234"/>
      <c r="J48" s="78"/>
    </row>
    <row r="49" spans="2:23" ht="13.5" customHeight="1" x14ac:dyDescent="0.25">
      <c r="B49" s="16"/>
      <c r="C49" s="128"/>
      <c r="D49" s="235"/>
      <c r="E49" s="150"/>
      <c r="F49" s="150"/>
      <c r="G49" s="150"/>
      <c r="H49" s="150"/>
      <c r="I49" s="236"/>
      <c r="J49" s="77"/>
    </row>
    <row r="50" spans="2:23" ht="13.5" customHeight="1" x14ac:dyDescent="0.25">
      <c r="B50" s="16"/>
      <c r="C50" s="17"/>
      <c r="D50" s="17"/>
      <c r="E50" s="17"/>
      <c r="F50" s="17"/>
      <c r="G50" s="17"/>
      <c r="H50" s="17"/>
      <c r="I50" s="33"/>
      <c r="J50" s="77"/>
    </row>
    <row r="51" spans="2:23" ht="13.5" customHeight="1" x14ac:dyDescent="0.25">
      <c r="B51" s="16"/>
      <c r="C51" s="17"/>
      <c r="D51" s="17"/>
      <c r="E51" s="17"/>
      <c r="F51" s="17"/>
      <c r="G51" s="17"/>
      <c r="H51" s="17"/>
      <c r="I51" s="33"/>
      <c r="J51" s="77"/>
    </row>
    <row r="52" spans="2:23" ht="13.5" customHeight="1" x14ac:dyDescent="0.25">
      <c r="B52" s="58"/>
      <c r="C52" s="59"/>
      <c r="D52" s="59"/>
      <c r="E52" s="59"/>
      <c r="F52" s="59"/>
      <c r="G52" s="59"/>
      <c r="H52" s="59"/>
      <c r="I52" s="79" t="s">
        <v>176</v>
      </c>
      <c r="J52" s="80"/>
    </row>
    <row r="53" spans="2:23" ht="13.5" customHeight="1" x14ac:dyDescent="0.25">
      <c r="B53" s="101"/>
      <c r="C53" s="101"/>
      <c r="D53" s="101"/>
      <c r="E53" s="101"/>
      <c r="F53" s="101"/>
      <c r="G53" s="101"/>
      <c r="H53" s="101"/>
      <c r="I53" s="103"/>
      <c r="J53" s="102"/>
    </row>
    <row r="54" spans="2:23" ht="13.5" customHeight="1" x14ac:dyDescent="0.25">
      <c r="B54" s="101"/>
      <c r="C54" s="101"/>
      <c r="D54" s="101"/>
      <c r="E54" s="101"/>
      <c r="F54" s="101"/>
      <c r="G54" s="101"/>
      <c r="H54" s="101"/>
      <c r="I54" s="103"/>
      <c r="J54" s="102"/>
    </row>
    <row r="55" spans="2:23" ht="13.5" customHeight="1" x14ac:dyDescent="0.25">
      <c r="I55" s="81"/>
      <c r="J55" s="81"/>
      <c r="N55" s="1" t="s">
        <v>150</v>
      </c>
    </row>
    <row r="56" spans="2:23" ht="13.5" customHeight="1" x14ac:dyDescent="0.25">
      <c r="I56" s="81"/>
      <c r="J56" s="81"/>
      <c r="K56" s="4" t="s">
        <v>67</v>
      </c>
      <c r="L56" s="4"/>
      <c r="M56" s="4"/>
      <c r="N56" s="1" t="s">
        <v>21</v>
      </c>
      <c r="O56" s="1" t="s">
        <v>29</v>
      </c>
      <c r="P56" s="1" t="s">
        <v>28</v>
      </c>
      <c r="U56" s="1" t="s">
        <v>30</v>
      </c>
    </row>
    <row r="57" spans="2:23" ht="13.5" customHeight="1" x14ac:dyDescent="0.25">
      <c r="I57" s="81"/>
      <c r="J57" s="81"/>
      <c r="K57" s="4" t="s">
        <v>60</v>
      </c>
      <c r="L57" s="4"/>
      <c r="M57" s="4"/>
      <c r="N57" s="1" t="str">
        <f t="shared" ref="N57:N76" si="0">+$F$13</f>
        <v>LA</v>
      </c>
      <c r="O57" s="1">
        <f t="shared" ref="O57:O76" si="1">+$F$14+$F$23+W57</f>
        <v>12</v>
      </c>
      <c r="P57" s="1">
        <f t="shared" ref="P57:P76" si="2">+$F$14+W57</f>
        <v>10</v>
      </c>
      <c r="R57" s="6" t="e">
        <f t="shared" ref="R57:R76" si="3">IF(O57&gt;$H$14,VLOOKUP($N57,saltab2016,$H$14+1,FALSE),VLOOKUP($N57,saltab2016,O57+1,FALSE))*12*(1+F$26)</f>
        <v>#N/A</v>
      </c>
      <c r="S57" s="6" t="e">
        <f t="shared" ref="S57:S76" si="4">IF(P57&gt;$H$14,VLOOKUP($N57,saltab2016,$H$14+1,FALSE),VLOOKUP($N57,saltab2016,P57+1,FALSE))*12*(1+F$26)</f>
        <v>#N/A</v>
      </c>
      <c r="U57" s="6" t="e">
        <f>+R57-S57</f>
        <v>#N/A</v>
      </c>
      <c r="W57" s="1">
        <v>0</v>
      </c>
    </row>
    <row r="58" spans="2:23" ht="13.5" customHeight="1" x14ac:dyDescent="0.25">
      <c r="I58" s="81"/>
      <c r="J58" s="81"/>
      <c r="K58" s="4" t="s">
        <v>61</v>
      </c>
      <c r="L58" s="4"/>
      <c r="M58" s="4"/>
      <c r="N58" s="1" t="str">
        <f t="shared" si="0"/>
        <v>LA</v>
      </c>
      <c r="O58" s="1">
        <f t="shared" si="1"/>
        <v>13</v>
      </c>
      <c r="P58" s="1">
        <f t="shared" si="2"/>
        <v>11</v>
      </c>
      <c r="R58" s="6" t="e">
        <f t="shared" si="3"/>
        <v>#N/A</v>
      </c>
      <c r="S58" s="6" t="e">
        <f t="shared" si="4"/>
        <v>#N/A</v>
      </c>
      <c r="U58" s="6" t="e">
        <f t="shared" ref="U58:U76" si="5">+R58-S58</f>
        <v>#N/A</v>
      </c>
      <c r="W58" s="1">
        <v>1</v>
      </c>
    </row>
    <row r="59" spans="2:23" ht="13.5" customHeight="1" x14ac:dyDescent="0.25">
      <c r="I59" s="81"/>
      <c r="J59" s="81"/>
      <c r="K59" s="4" t="s">
        <v>62</v>
      </c>
      <c r="L59" s="4"/>
      <c r="M59" s="4"/>
      <c r="N59" s="1" t="str">
        <f t="shared" si="0"/>
        <v>LA</v>
      </c>
      <c r="O59" s="1">
        <f t="shared" si="1"/>
        <v>14</v>
      </c>
      <c r="P59" s="1">
        <f t="shared" si="2"/>
        <v>12</v>
      </c>
      <c r="R59" s="6" t="e">
        <f t="shared" si="3"/>
        <v>#N/A</v>
      </c>
      <c r="S59" s="6" t="e">
        <f t="shared" si="4"/>
        <v>#N/A</v>
      </c>
      <c r="U59" s="6" t="e">
        <f t="shared" si="5"/>
        <v>#N/A</v>
      </c>
      <c r="W59" s="1">
        <v>2</v>
      </c>
    </row>
    <row r="60" spans="2:23" ht="13.5" customHeight="1" x14ac:dyDescent="0.25">
      <c r="I60" s="81"/>
      <c r="J60" s="81"/>
      <c r="K60" s="4" t="s">
        <v>63</v>
      </c>
      <c r="L60" s="4"/>
      <c r="M60" s="4"/>
      <c r="N60" s="1" t="str">
        <f t="shared" si="0"/>
        <v>LA</v>
      </c>
      <c r="O60" s="1">
        <f t="shared" si="1"/>
        <v>15</v>
      </c>
      <c r="P60" s="1">
        <f t="shared" si="2"/>
        <v>13</v>
      </c>
      <c r="R60" s="6" t="e">
        <f t="shared" si="3"/>
        <v>#N/A</v>
      </c>
      <c r="S60" s="6" t="e">
        <f t="shared" si="4"/>
        <v>#N/A</v>
      </c>
      <c r="U60" s="6" t="e">
        <f t="shared" si="5"/>
        <v>#N/A</v>
      </c>
      <c r="W60" s="1">
        <v>3</v>
      </c>
    </row>
    <row r="61" spans="2:23" ht="13.5" customHeight="1" x14ac:dyDescent="0.25">
      <c r="I61" s="81"/>
      <c r="J61" s="81"/>
      <c r="K61" s="4" t="s">
        <v>64</v>
      </c>
      <c r="L61" s="4"/>
      <c r="M61" s="4"/>
      <c r="N61" s="1" t="str">
        <f t="shared" si="0"/>
        <v>LA</v>
      </c>
      <c r="O61" s="1">
        <f t="shared" si="1"/>
        <v>16</v>
      </c>
      <c r="P61" s="1">
        <f t="shared" si="2"/>
        <v>14</v>
      </c>
      <c r="R61" s="6" t="e">
        <f t="shared" si="3"/>
        <v>#N/A</v>
      </c>
      <c r="S61" s="6" t="e">
        <f t="shared" si="4"/>
        <v>#N/A</v>
      </c>
      <c r="U61" s="6" t="e">
        <f t="shared" si="5"/>
        <v>#N/A</v>
      </c>
      <c r="W61" s="1">
        <v>4</v>
      </c>
    </row>
    <row r="62" spans="2:23" ht="13.5" customHeight="1" x14ac:dyDescent="0.25">
      <c r="I62" s="81"/>
      <c r="J62" s="81"/>
      <c r="K62" s="4" t="s">
        <v>65</v>
      </c>
      <c r="L62" s="4"/>
      <c r="M62" s="4"/>
      <c r="N62" s="1" t="str">
        <f t="shared" si="0"/>
        <v>LA</v>
      </c>
      <c r="O62" s="1">
        <f t="shared" si="1"/>
        <v>17</v>
      </c>
      <c r="P62" s="1">
        <f t="shared" si="2"/>
        <v>15</v>
      </c>
      <c r="R62" s="6" t="e">
        <f t="shared" si="3"/>
        <v>#N/A</v>
      </c>
      <c r="S62" s="6" t="e">
        <f t="shared" si="4"/>
        <v>#N/A</v>
      </c>
      <c r="U62" s="6" t="e">
        <f t="shared" si="5"/>
        <v>#N/A</v>
      </c>
      <c r="W62" s="1">
        <v>5</v>
      </c>
    </row>
    <row r="63" spans="2:23" ht="13.5" customHeight="1" x14ac:dyDescent="0.25">
      <c r="I63" s="81"/>
      <c r="J63" s="81"/>
      <c r="K63" s="4" t="s">
        <v>66</v>
      </c>
      <c r="L63" s="73"/>
      <c r="M63" s="73"/>
      <c r="N63" s="1" t="str">
        <f t="shared" si="0"/>
        <v>LA</v>
      </c>
      <c r="O63" s="1">
        <f t="shared" si="1"/>
        <v>18</v>
      </c>
      <c r="P63" s="1">
        <f t="shared" si="2"/>
        <v>16</v>
      </c>
      <c r="R63" s="6" t="e">
        <f t="shared" si="3"/>
        <v>#N/A</v>
      </c>
      <c r="S63" s="6" t="e">
        <f t="shared" si="4"/>
        <v>#N/A</v>
      </c>
      <c r="U63" s="6" t="e">
        <f t="shared" si="5"/>
        <v>#N/A</v>
      </c>
      <c r="W63" s="1">
        <v>6</v>
      </c>
    </row>
    <row r="64" spans="2:23" ht="13.5" customHeight="1" x14ac:dyDescent="0.25">
      <c r="I64" s="81"/>
      <c r="J64" s="81"/>
      <c r="K64" s="4" t="s">
        <v>3</v>
      </c>
      <c r="L64" s="73"/>
      <c r="M64" s="73"/>
      <c r="N64" s="1" t="str">
        <f t="shared" si="0"/>
        <v>LA</v>
      </c>
      <c r="O64" s="1">
        <f t="shared" si="1"/>
        <v>19</v>
      </c>
      <c r="P64" s="1">
        <f t="shared" si="2"/>
        <v>17</v>
      </c>
      <c r="R64" s="6" t="e">
        <f t="shared" si="3"/>
        <v>#N/A</v>
      </c>
      <c r="S64" s="6" t="e">
        <f t="shared" si="4"/>
        <v>#N/A</v>
      </c>
      <c r="U64" s="6" t="e">
        <f t="shared" si="5"/>
        <v>#N/A</v>
      </c>
      <c r="W64" s="1">
        <v>7</v>
      </c>
    </row>
    <row r="65" spans="9:23" ht="13.5" customHeight="1" x14ac:dyDescent="0.25">
      <c r="I65" s="81"/>
      <c r="J65" s="81"/>
      <c r="K65" s="4" t="s">
        <v>4</v>
      </c>
      <c r="L65" s="4"/>
      <c r="M65" s="4"/>
      <c r="N65" s="1" t="str">
        <f t="shared" si="0"/>
        <v>LA</v>
      </c>
      <c r="O65" s="1">
        <f t="shared" si="1"/>
        <v>20</v>
      </c>
      <c r="P65" s="1">
        <f t="shared" si="2"/>
        <v>18</v>
      </c>
      <c r="R65" s="6" t="e">
        <f t="shared" si="3"/>
        <v>#N/A</v>
      </c>
      <c r="S65" s="6" t="e">
        <f t="shared" si="4"/>
        <v>#N/A</v>
      </c>
      <c r="U65" s="6" t="e">
        <f t="shared" si="5"/>
        <v>#N/A</v>
      </c>
      <c r="W65" s="1">
        <v>8</v>
      </c>
    </row>
    <row r="66" spans="9:23" ht="13.5" customHeight="1" x14ac:dyDescent="0.25">
      <c r="I66" s="81"/>
      <c r="J66" s="81"/>
      <c r="K66" s="4" t="s">
        <v>5</v>
      </c>
      <c r="L66" s="4"/>
      <c r="M66" s="4"/>
      <c r="N66" s="1" t="str">
        <f t="shared" si="0"/>
        <v>LA</v>
      </c>
      <c r="O66" s="1">
        <f t="shared" si="1"/>
        <v>21</v>
      </c>
      <c r="P66" s="1">
        <f t="shared" si="2"/>
        <v>19</v>
      </c>
      <c r="R66" s="6" t="e">
        <f t="shared" si="3"/>
        <v>#N/A</v>
      </c>
      <c r="S66" s="6" t="e">
        <f t="shared" si="4"/>
        <v>#N/A</v>
      </c>
      <c r="U66" s="6" t="e">
        <f t="shared" si="5"/>
        <v>#N/A</v>
      </c>
      <c r="W66" s="1">
        <v>9</v>
      </c>
    </row>
    <row r="67" spans="9:23" ht="13.5" customHeight="1" x14ac:dyDescent="0.25">
      <c r="I67" s="81"/>
      <c r="J67" s="81"/>
      <c r="K67" s="4" t="s">
        <v>6</v>
      </c>
      <c r="L67" s="4"/>
      <c r="M67" s="4"/>
      <c r="N67" s="1" t="str">
        <f t="shared" si="0"/>
        <v>LA</v>
      </c>
      <c r="O67" s="1">
        <f t="shared" si="1"/>
        <v>22</v>
      </c>
      <c r="P67" s="1">
        <f t="shared" si="2"/>
        <v>20</v>
      </c>
      <c r="R67" s="6" t="e">
        <f t="shared" si="3"/>
        <v>#N/A</v>
      </c>
      <c r="S67" s="6" t="e">
        <f t="shared" si="4"/>
        <v>#N/A</v>
      </c>
      <c r="U67" s="6" t="e">
        <f t="shared" si="5"/>
        <v>#N/A</v>
      </c>
      <c r="W67" s="1">
        <v>10</v>
      </c>
    </row>
    <row r="68" spans="9:23" ht="13.5" customHeight="1" x14ac:dyDescent="0.25">
      <c r="I68" s="81"/>
      <c r="J68" s="81"/>
      <c r="K68" s="4" t="s">
        <v>7</v>
      </c>
      <c r="L68" s="4"/>
      <c r="M68" s="4"/>
      <c r="N68" s="1" t="str">
        <f t="shared" si="0"/>
        <v>LA</v>
      </c>
      <c r="O68" s="1">
        <f t="shared" si="1"/>
        <v>23</v>
      </c>
      <c r="P68" s="1">
        <f t="shared" si="2"/>
        <v>21</v>
      </c>
      <c r="R68" s="6" t="e">
        <f t="shared" si="3"/>
        <v>#N/A</v>
      </c>
      <c r="S68" s="6" t="e">
        <f t="shared" si="4"/>
        <v>#N/A</v>
      </c>
      <c r="U68" s="6" t="e">
        <f t="shared" si="5"/>
        <v>#N/A</v>
      </c>
      <c r="W68" s="1">
        <v>11</v>
      </c>
    </row>
    <row r="69" spans="9:23" ht="13.5" customHeight="1" x14ac:dyDescent="0.25">
      <c r="I69" s="81"/>
      <c r="J69" s="81"/>
      <c r="K69" s="4" t="s">
        <v>8</v>
      </c>
      <c r="L69" s="4"/>
      <c r="M69" s="4"/>
      <c r="N69" s="1" t="str">
        <f t="shared" si="0"/>
        <v>LA</v>
      </c>
      <c r="O69" s="1">
        <f t="shared" si="1"/>
        <v>24</v>
      </c>
      <c r="P69" s="1">
        <f t="shared" si="2"/>
        <v>22</v>
      </c>
      <c r="R69" s="6" t="e">
        <f t="shared" si="3"/>
        <v>#N/A</v>
      </c>
      <c r="S69" s="6" t="e">
        <f t="shared" si="4"/>
        <v>#N/A</v>
      </c>
      <c r="U69" s="6" t="e">
        <f t="shared" si="5"/>
        <v>#N/A</v>
      </c>
      <c r="W69" s="1">
        <v>12</v>
      </c>
    </row>
    <row r="70" spans="9:23" ht="13.5" customHeight="1" x14ac:dyDescent="0.25">
      <c r="I70" s="81"/>
      <c r="J70" s="81"/>
      <c r="K70" s="4" t="s">
        <v>9</v>
      </c>
      <c r="L70" s="4"/>
      <c r="M70" s="4"/>
      <c r="N70" s="1" t="str">
        <f t="shared" si="0"/>
        <v>LA</v>
      </c>
      <c r="O70" s="1">
        <f t="shared" si="1"/>
        <v>25</v>
      </c>
      <c r="P70" s="1">
        <f t="shared" si="2"/>
        <v>23</v>
      </c>
      <c r="R70" s="6" t="e">
        <f t="shared" si="3"/>
        <v>#N/A</v>
      </c>
      <c r="S70" s="6" t="e">
        <f t="shared" si="4"/>
        <v>#N/A</v>
      </c>
      <c r="U70" s="6" t="e">
        <f t="shared" si="5"/>
        <v>#N/A</v>
      </c>
      <c r="W70" s="1">
        <v>13</v>
      </c>
    </row>
    <row r="71" spans="9:23" ht="13.5" customHeight="1" x14ac:dyDescent="0.25">
      <c r="I71" s="81"/>
      <c r="J71" s="81"/>
      <c r="K71" s="4" t="s">
        <v>10</v>
      </c>
      <c r="L71" s="4"/>
      <c r="M71" s="4"/>
      <c r="N71" s="1" t="str">
        <f t="shared" si="0"/>
        <v>LA</v>
      </c>
      <c r="O71" s="1">
        <f t="shared" si="1"/>
        <v>26</v>
      </c>
      <c r="P71" s="1">
        <f t="shared" si="2"/>
        <v>24</v>
      </c>
      <c r="R71" s="6" t="e">
        <f t="shared" si="3"/>
        <v>#N/A</v>
      </c>
      <c r="S71" s="6" t="e">
        <f t="shared" si="4"/>
        <v>#N/A</v>
      </c>
      <c r="U71" s="6" t="e">
        <f t="shared" si="5"/>
        <v>#N/A</v>
      </c>
      <c r="W71" s="1">
        <v>14</v>
      </c>
    </row>
    <row r="72" spans="9:23" ht="13.5" customHeight="1" x14ac:dyDescent="0.25">
      <c r="I72" s="81"/>
      <c r="J72" s="81"/>
      <c r="K72" s="4" t="s">
        <v>11</v>
      </c>
      <c r="L72" s="4"/>
      <c r="M72" s="4"/>
      <c r="N72" s="1" t="str">
        <f t="shared" si="0"/>
        <v>LA</v>
      </c>
      <c r="O72" s="1">
        <f t="shared" si="1"/>
        <v>27</v>
      </c>
      <c r="P72" s="1">
        <f t="shared" si="2"/>
        <v>25</v>
      </c>
      <c r="R72" s="6" t="e">
        <f t="shared" si="3"/>
        <v>#N/A</v>
      </c>
      <c r="S72" s="6" t="e">
        <f t="shared" si="4"/>
        <v>#N/A</v>
      </c>
      <c r="U72" s="6" t="e">
        <f t="shared" si="5"/>
        <v>#N/A</v>
      </c>
      <c r="W72" s="1">
        <v>15</v>
      </c>
    </row>
    <row r="73" spans="9:23" ht="13.5" customHeight="1" x14ac:dyDescent="0.25">
      <c r="I73" s="81"/>
      <c r="J73" s="81"/>
      <c r="K73" s="4" t="s">
        <v>12</v>
      </c>
      <c r="L73" s="4"/>
      <c r="M73" s="4"/>
      <c r="N73" s="1" t="str">
        <f t="shared" si="0"/>
        <v>LA</v>
      </c>
      <c r="O73" s="1">
        <f t="shared" si="1"/>
        <v>28</v>
      </c>
      <c r="P73" s="1">
        <f t="shared" si="2"/>
        <v>26</v>
      </c>
      <c r="R73" s="6" t="e">
        <f t="shared" si="3"/>
        <v>#N/A</v>
      </c>
      <c r="S73" s="6" t="e">
        <f t="shared" si="4"/>
        <v>#N/A</v>
      </c>
      <c r="U73" s="6" t="e">
        <f t="shared" si="5"/>
        <v>#N/A</v>
      </c>
      <c r="W73" s="1">
        <v>16</v>
      </c>
    </row>
    <row r="74" spans="9:23" ht="13.5" customHeight="1" x14ac:dyDescent="0.25">
      <c r="I74" s="81"/>
      <c r="J74" s="81"/>
      <c r="K74" s="4" t="s">
        <v>13</v>
      </c>
      <c r="L74" s="4"/>
      <c r="M74" s="4"/>
      <c r="N74" s="1" t="str">
        <f t="shared" si="0"/>
        <v>LA</v>
      </c>
      <c r="O74" s="1">
        <f t="shared" si="1"/>
        <v>29</v>
      </c>
      <c r="P74" s="1">
        <f t="shared" si="2"/>
        <v>27</v>
      </c>
      <c r="R74" s="6" t="e">
        <f t="shared" si="3"/>
        <v>#N/A</v>
      </c>
      <c r="S74" s="6" t="e">
        <f t="shared" si="4"/>
        <v>#N/A</v>
      </c>
      <c r="U74" s="6" t="e">
        <f t="shared" si="5"/>
        <v>#N/A</v>
      </c>
      <c r="W74" s="1">
        <v>17</v>
      </c>
    </row>
    <row r="75" spans="9:23" ht="13.5" customHeight="1" x14ac:dyDescent="0.25">
      <c r="I75" s="81"/>
      <c r="J75" s="81"/>
      <c r="K75" s="4" t="s">
        <v>14</v>
      </c>
      <c r="L75" s="4"/>
      <c r="M75" s="4"/>
      <c r="N75" s="1" t="str">
        <f t="shared" si="0"/>
        <v>LA</v>
      </c>
      <c r="O75" s="1">
        <f t="shared" si="1"/>
        <v>30</v>
      </c>
      <c r="P75" s="1">
        <f t="shared" si="2"/>
        <v>28</v>
      </c>
      <c r="R75" s="6" t="e">
        <f t="shared" si="3"/>
        <v>#N/A</v>
      </c>
      <c r="S75" s="6" t="e">
        <f t="shared" si="4"/>
        <v>#N/A</v>
      </c>
      <c r="U75" s="6" t="e">
        <f t="shared" si="5"/>
        <v>#N/A</v>
      </c>
      <c r="W75" s="1">
        <v>18</v>
      </c>
    </row>
    <row r="76" spans="9:23" ht="13.5" customHeight="1" x14ac:dyDescent="0.25">
      <c r="I76" s="81"/>
      <c r="J76" s="81"/>
      <c r="K76" s="4" t="s">
        <v>0</v>
      </c>
      <c r="L76" s="4"/>
      <c r="M76" s="4"/>
      <c r="N76" s="1" t="str">
        <f t="shared" si="0"/>
        <v>LA</v>
      </c>
      <c r="O76" s="1">
        <f t="shared" si="1"/>
        <v>31</v>
      </c>
      <c r="P76" s="1">
        <f t="shared" si="2"/>
        <v>29</v>
      </c>
      <c r="R76" s="6" t="e">
        <f t="shared" si="3"/>
        <v>#N/A</v>
      </c>
      <c r="S76" s="6" t="e">
        <f t="shared" si="4"/>
        <v>#N/A</v>
      </c>
      <c r="U76" s="6" t="e">
        <f t="shared" si="5"/>
        <v>#N/A</v>
      </c>
      <c r="W76" s="1">
        <v>19</v>
      </c>
    </row>
    <row r="77" spans="9:23" ht="13.5" customHeight="1" x14ac:dyDescent="0.25">
      <c r="I77" s="81"/>
      <c r="J77" s="81"/>
      <c r="K77" s="4" t="s">
        <v>15</v>
      </c>
      <c r="L77" s="4"/>
      <c r="M77" s="4"/>
    </row>
    <row r="78" spans="9:23" ht="13.5" customHeight="1" x14ac:dyDescent="0.25">
      <c r="I78" s="81"/>
      <c r="J78" s="81"/>
      <c r="K78" s="4" t="s">
        <v>16</v>
      </c>
      <c r="L78" s="4"/>
      <c r="M78" s="4"/>
      <c r="U78" s="6" t="e">
        <f>SUM(U57:U76)</f>
        <v>#N/A</v>
      </c>
    </row>
    <row r="79" spans="9:23" ht="13.5" customHeight="1" x14ac:dyDescent="0.25">
      <c r="I79" s="81"/>
      <c r="J79" s="81"/>
      <c r="K79" s="4" t="s">
        <v>17</v>
      </c>
      <c r="L79" s="4"/>
      <c r="M79" s="4"/>
      <c r="S79" s="1" t="s">
        <v>31</v>
      </c>
      <c r="U79" s="6" t="e">
        <f>IF(F28=0,0,+U78/F28)</f>
        <v>#N/A</v>
      </c>
    </row>
    <row r="80" spans="9:23" ht="13.5" customHeight="1" x14ac:dyDescent="0.25">
      <c r="I80" s="81"/>
      <c r="J80" s="81"/>
      <c r="K80" s="4" t="s">
        <v>18</v>
      </c>
      <c r="L80" s="4"/>
      <c r="M80" s="4"/>
    </row>
    <row r="81" spans="6:13" ht="13.5" customHeight="1" x14ac:dyDescent="0.25">
      <c r="I81" s="81"/>
      <c r="J81" s="81"/>
      <c r="K81" s="4" t="s">
        <v>19</v>
      </c>
      <c r="L81" s="4"/>
      <c r="M81" s="4"/>
    </row>
    <row r="82" spans="6:13" ht="13.5" customHeight="1" x14ac:dyDescent="0.25">
      <c r="I82" s="81"/>
      <c r="J82" s="81"/>
      <c r="K82" s="4" t="s">
        <v>20</v>
      </c>
      <c r="L82" s="4"/>
      <c r="M82" s="4"/>
    </row>
    <row r="83" spans="6:13" ht="13.5" customHeight="1" x14ac:dyDescent="0.25">
      <c r="I83" s="81"/>
      <c r="J83" s="81"/>
      <c r="K83" s="4">
        <v>1</v>
      </c>
      <c r="L83" s="4"/>
      <c r="M83" s="4"/>
    </row>
    <row r="84" spans="6:13" ht="13.5" customHeight="1" x14ac:dyDescent="0.25">
      <c r="I84" s="81"/>
      <c r="J84" s="81"/>
      <c r="K84" s="4">
        <v>2</v>
      </c>
      <c r="L84" s="4"/>
      <c r="M84" s="4"/>
    </row>
    <row r="85" spans="6:13" ht="13.5" customHeight="1" x14ac:dyDescent="0.25">
      <c r="I85" s="81"/>
      <c r="J85" s="81"/>
      <c r="K85" s="4">
        <v>3</v>
      </c>
      <c r="L85" s="4"/>
      <c r="M85" s="4"/>
    </row>
    <row r="86" spans="6:13" ht="13.5" customHeight="1" x14ac:dyDescent="0.25">
      <c r="I86" s="81"/>
      <c r="J86" s="81"/>
      <c r="K86" s="4">
        <v>4</v>
      </c>
      <c r="L86" s="4"/>
      <c r="M86" s="4"/>
    </row>
    <row r="87" spans="6:13" ht="13.5" customHeight="1" x14ac:dyDescent="0.25">
      <c r="F87" s="6"/>
      <c r="G87" s="6"/>
      <c r="I87" s="81"/>
      <c r="J87" s="81"/>
      <c r="K87" s="4">
        <v>5</v>
      </c>
      <c r="L87" s="4"/>
      <c r="M87" s="4"/>
    </row>
    <row r="88" spans="6:13" ht="13.5" customHeight="1" x14ac:dyDescent="0.25">
      <c r="F88" s="6"/>
      <c r="G88" s="6"/>
      <c r="I88" s="81"/>
      <c r="J88" s="81"/>
      <c r="K88" s="4">
        <v>6</v>
      </c>
      <c r="L88" s="4"/>
      <c r="M88" s="4"/>
    </row>
    <row r="89" spans="6:13" ht="13.5" customHeight="1" x14ac:dyDescent="0.25">
      <c r="F89" s="6"/>
      <c r="G89" s="6"/>
      <c r="I89" s="81"/>
      <c r="J89" s="81"/>
      <c r="K89" s="4">
        <v>7</v>
      </c>
      <c r="L89" s="4"/>
      <c r="M89" s="4"/>
    </row>
    <row r="90" spans="6:13" ht="13.5" customHeight="1" x14ac:dyDescent="0.25">
      <c r="F90" s="6"/>
      <c r="G90" s="6"/>
      <c r="I90" s="81"/>
      <c r="J90" s="81"/>
      <c r="K90" s="4">
        <v>8</v>
      </c>
      <c r="L90" s="4"/>
      <c r="M90" s="4"/>
    </row>
    <row r="91" spans="6:13" ht="13.5" customHeight="1" x14ac:dyDescent="0.25">
      <c r="F91" s="6"/>
      <c r="G91" s="6"/>
      <c r="I91" s="81"/>
      <c r="J91" s="81"/>
      <c r="K91" s="4">
        <v>9</v>
      </c>
      <c r="L91" s="4"/>
      <c r="M91" s="4"/>
    </row>
    <row r="92" spans="6:13" ht="13.5" customHeight="1" x14ac:dyDescent="0.25">
      <c r="F92" s="6"/>
      <c r="G92" s="6"/>
      <c r="I92" s="81"/>
      <c r="J92" s="81"/>
      <c r="K92" s="4">
        <v>10</v>
      </c>
      <c r="L92" s="4"/>
      <c r="M92" s="4"/>
    </row>
    <row r="93" spans="6:13" ht="13.5" customHeight="1" x14ac:dyDescent="0.25">
      <c r="F93" s="6"/>
      <c r="G93" s="6"/>
      <c r="I93" s="81"/>
      <c r="J93" s="81"/>
      <c r="K93" s="4">
        <v>11</v>
      </c>
      <c r="L93" s="4"/>
      <c r="M93" s="4"/>
    </row>
    <row r="94" spans="6:13" ht="13.5" customHeight="1" x14ac:dyDescent="0.25">
      <c r="F94" s="6"/>
      <c r="G94" s="6"/>
      <c r="I94" s="81"/>
      <c r="J94" s="81"/>
      <c r="K94" s="4">
        <v>12</v>
      </c>
      <c r="L94" s="4"/>
      <c r="M94" s="4"/>
    </row>
    <row r="95" spans="6:13" ht="13.5" customHeight="1" x14ac:dyDescent="0.25">
      <c r="F95" s="6"/>
      <c r="G95" s="6"/>
      <c r="I95" s="81"/>
      <c r="J95" s="81"/>
      <c r="K95" s="4">
        <v>13</v>
      </c>
      <c r="L95" s="4"/>
      <c r="M95" s="4"/>
    </row>
    <row r="96" spans="6:13" ht="13.5" customHeight="1" x14ac:dyDescent="0.25">
      <c r="F96" s="87"/>
      <c r="G96" s="93"/>
      <c r="I96" s="81"/>
      <c r="J96" s="81"/>
      <c r="K96" s="4">
        <v>14</v>
      </c>
      <c r="L96" s="4"/>
      <c r="M96" s="4"/>
    </row>
    <row r="97" spans="6:13" ht="13.5" customHeight="1" x14ac:dyDescent="0.25">
      <c r="F97" s="87"/>
      <c r="G97" s="93"/>
      <c r="I97" s="81"/>
      <c r="J97" s="81"/>
      <c r="K97" s="4" t="s">
        <v>68</v>
      </c>
      <c r="L97" s="4"/>
      <c r="M97" s="4"/>
    </row>
    <row r="98" spans="6:13" ht="13.5" customHeight="1" x14ac:dyDescent="0.25">
      <c r="F98" s="87"/>
      <c r="G98" s="93"/>
      <c r="I98" s="81"/>
      <c r="J98" s="81"/>
      <c r="K98" s="4" t="s">
        <v>69</v>
      </c>
      <c r="L98" s="4"/>
      <c r="M98" s="4"/>
    </row>
    <row r="99" spans="6:13" ht="13.5" customHeight="1" x14ac:dyDescent="0.25">
      <c r="F99" s="87"/>
      <c r="G99" s="93"/>
      <c r="I99" s="81"/>
      <c r="J99" s="81"/>
      <c r="K99" s="4" t="s">
        <v>70</v>
      </c>
      <c r="L99" s="4"/>
      <c r="M99" s="4"/>
    </row>
    <row r="100" spans="6:13" ht="13.5" customHeight="1" x14ac:dyDescent="0.25">
      <c r="F100" s="86"/>
      <c r="G100" s="81"/>
      <c r="I100" s="81"/>
      <c r="J100" s="81"/>
    </row>
    <row r="101" spans="6:13" ht="13.5" customHeight="1" x14ac:dyDescent="0.25">
      <c r="F101" s="87"/>
      <c r="G101" s="81"/>
      <c r="I101" s="81"/>
      <c r="J101" s="81"/>
    </row>
    <row r="102" spans="6:13" ht="13.5" customHeight="1" x14ac:dyDescent="0.25">
      <c r="F102" s="74"/>
      <c r="G102" s="6"/>
      <c r="I102" s="81"/>
      <c r="J102" s="81"/>
    </row>
    <row r="103" spans="6:13" ht="13.5" customHeight="1" x14ac:dyDescent="0.25">
      <c r="F103" s="6"/>
      <c r="G103" s="6"/>
      <c r="I103" s="81"/>
      <c r="J103" s="81"/>
    </row>
    <row r="104" spans="6:13" ht="13.5" customHeight="1" x14ac:dyDescent="0.25">
      <c r="F104" s="6"/>
      <c r="G104" s="6"/>
      <c r="I104" s="81"/>
      <c r="J104" s="81"/>
    </row>
    <row r="105" spans="6:13" ht="13.5" customHeight="1" x14ac:dyDescent="0.25">
      <c r="F105" s="6"/>
      <c r="G105" s="6"/>
    </row>
    <row r="106" spans="6:13" ht="13.5" customHeight="1" x14ac:dyDescent="0.25">
      <c r="F106" s="6"/>
      <c r="G106" s="6"/>
    </row>
    <row r="117" spans="6:7" ht="13.5" customHeight="1" x14ac:dyDescent="0.25">
      <c r="F117" s="6"/>
      <c r="G117" s="6"/>
    </row>
    <row r="118" spans="6:7" ht="13.5" customHeight="1" x14ac:dyDescent="0.25">
      <c r="F118" s="6"/>
      <c r="G118" s="6"/>
    </row>
    <row r="119" spans="6:7" ht="13.5" customHeight="1" x14ac:dyDescent="0.25">
      <c r="F119" s="6"/>
      <c r="G119" s="6"/>
    </row>
    <row r="120" spans="6:7" ht="13.5" customHeight="1" x14ac:dyDescent="0.25">
      <c r="F120" s="6"/>
      <c r="G120" s="6"/>
    </row>
    <row r="121" spans="6:7" ht="13.5" customHeight="1" x14ac:dyDescent="0.25">
      <c r="F121" s="6"/>
      <c r="G121" s="6"/>
    </row>
    <row r="122" spans="6:7" ht="13.5" customHeight="1" x14ac:dyDescent="0.25">
      <c r="F122" s="6"/>
      <c r="G122" s="6"/>
    </row>
    <row r="123" spans="6:7" ht="13.5" customHeight="1" x14ac:dyDescent="0.25">
      <c r="F123" s="6"/>
      <c r="G123" s="6"/>
    </row>
    <row r="124" spans="6:7" ht="13.5" customHeight="1" x14ac:dyDescent="0.25">
      <c r="F124" s="6"/>
      <c r="G124" s="6"/>
    </row>
    <row r="125" spans="6:7" ht="13.5" customHeight="1" x14ac:dyDescent="0.25">
      <c r="F125" s="6"/>
      <c r="G125" s="6"/>
    </row>
    <row r="126" spans="6:7" ht="13.5" customHeight="1" x14ac:dyDescent="0.25">
      <c r="F126" s="6"/>
      <c r="G126" s="6"/>
    </row>
    <row r="127" spans="6:7" ht="13.5" customHeight="1" x14ac:dyDescent="0.25">
      <c r="F127" s="6"/>
      <c r="G127" s="6"/>
    </row>
    <row r="128" spans="6:7" ht="13.5" customHeight="1" x14ac:dyDescent="0.25">
      <c r="F128" s="6"/>
      <c r="G128" s="6"/>
    </row>
    <row r="129" spans="6:7" ht="13.5" customHeight="1" x14ac:dyDescent="0.25">
      <c r="F129" s="6"/>
      <c r="G129" s="6"/>
    </row>
    <row r="130" spans="6:7" ht="13.5" customHeight="1" x14ac:dyDescent="0.25">
      <c r="F130" s="6"/>
      <c r="G130" s="6"/>
    </row>
    <row r="131" spans="6:7" ht="13.5" customHeight="1" x14ac:dyDescent="0.25">
      <c r="F131" s="6"/>
      <c r="G131" s="6"/>
    </row>
    <row r="132" spans="6:7" ht="13.5" customHeight="1" x14ac:dyDescent="0.25">
      <c r="F132" s="6"/>
      <c r="G132" s="6"/>
    </row>
    <row r="133" spans="6:7" ht="13.5" customHeight="1" x14ac:dyDescent="0.25">
      <c r="F133" s="6"/>
      <c r="G133" s="6"/>
    </row>
    <row r="134" spans="6:7" ht="13.5" customHeight="1" x14ac:dyDescent="0.25">
      <c r="F134" s="6"/>
      <c r="G134" s="6"/>
    </row>
    <row r="135" spans="6:7" ht="13.5" customHeight="1" x14ac:dyDescent="0.25">
      <c r="F135" s="6"/>
      <c r="G135" s="6"/>
    </row>
    <row r="136" spans="6:7" ht="13.5" customHeight="1" x14ac:dyDescent="0.25">
      <c r="F136" s="6"/>
      <c r="G136" s="6"/>
    </row>
  </sheetData>
  <sheetProtection password="DFB1" sheet="1"/>
  <mergeCells count="1">
    <mergeCell ref="F10:G10"/>
  </mergeCells>
  <phoneticPr fontId="0" type="noConversion"/>
  <dataValidations count="2">
    <dataValidation type="list" allowBlank="1" showInputMessage="1" showErrorMessage="1" sqref="F13">
      <formula1>$K$56:$K$99</formula1>
    </dataValidation>
    <dataValidation type="list" allowBlank="1" showInputMessage="1" showErrorMessage="1" sqref="F20:F22">
      <formula1>"ja, nee"</formula1>
    </dataValidation>
  </dataValidations>
  <printOptions gridLines="1"/>
  <pageMargins left="0.74803149606299213" right="0.74803149606299213" top="0.98425196850393704" bottom="0.98425196850393704" header="0.51181102362204722" footer="0.51181102362204722"/>
  <pageSetup paperSize="9" scale="65" orientation="portrait" r:id="rId1"/>
  <headerFooter alignWithMargins="0">
    <oddHeader>&amp;L&amp;"Arial,Vet"&amp;A&amp;C&amp;"Arial,Vet"&amp;D&amp;R&amp;"Arial,Vet"&amp;F</oddHeader>
    <oddFooter>&amp;L&amp;"Arial,Vet"&amp;8gemaakt door keizer, PO-Raad&amp;R&amp;"Arial,Vet"&amp;P</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149"/>
  <sheetViews>
    <sheetView tabSelected="1" zoomScale="85" zoomScaleNormal="85" zoomScaleSheetLayoutView="85" workbookViewId="0">
      <selection activeCell="O4" sqref="O4"/>
    </sheetView>
  </sheetViews>
  <sheetFormatPr defaultColWidth="9.140625" defaultRowHeight="13.5" customHeight="1" x14ac:dyDescent="0.2"/>
  <cols>
    <col min="1" max="1" width="3.5703125" style="309" customWidth="1"/>
    <col min="2" max="2" width="2.5703125" style="288" customWidth="1"/>
    <col min="3" max="3" width="1.5703125" style="288" customWidth="1"/>
    <col min="4" max="4" width="15.5703125" style="299" customWidth="1"/>
    <col min="5" max="5" width="9.5703125" style="288" customWidth="1"/>
    <col min="6" max="8" width="6.5703125" style="288" customWidth="1"/>
    <col min="9" max="9" width="8" style="288" customWidth="1"/>
    <col min="10" max="10" width="8.140625" style="288" customWidth="1"/>
    <col min="11" max="11" width="9.5703125" style="324" customWidth="1"/>
    <col min="12" max="12" width="11.28515625" style="324" customWidth="1"/>
    <col min="13" max="13" width="0.85546875" style="288" customWidth="1"/>
    <col min="14" max="16" width="8.5703125" style="288" customWidth="1"/>
    <col min="17" max="17" width="8.85546875" style="288" customWidth="1"/>
    <col min="18" max="18" width="11.28515625" style="288" customWidth="1"/>
    <col min="19" max="20" width="8.5703125" style="288" customWidth="1"/>
    <col min="21" max="21" width="10.42578125" style="660" customWidth="1"/>
    <col min="22" max="22" width="8.5703125" style="324" customWidth="1"/>
    <col min="23" max="23" width="13.85546875" style="288" customWidth="1"/>
    <col min="24" max="24" width="0.85546875" style="288" customWidth="1"/>
    <col min="25" max="25" width="10.28515625" style="660" customWidth="1"/>
    <col min="26" max="26" width="8.5703125" style="677" customWidth="1"/>
    <col min="27" max="27" width="0.85546875" style="288" customWidth="1"/>
    <col min="28" max="31" width="8.5703125" style="288" customWidth="1"/>
    <col min="32" max="32" width="10.28515625" style="288" customWidth="1"/>
    <col min="33" max="33" width="8.5703125" style="281" customWidth="1"/>
    <col min="34" max="34" width="0.85546875" style="288" customWidth="1"/>
    <col min="35" max="35" width="9.5703125" style="281" customWidth="1"/>
    <col min="36" max="36" width="8.5703125" style="281" customWidth="1"/>
    <col min="37" max="37" width="10.140625" style="307" customWidth="1"/>
    <col min="38" max="38" width="0.85546875" style="288" customWidth="1"/>
    <col min="39" max="39" width="10.5703125" style="288" bestFit="1" customWidth="1"/>
    <col min="40" max="40" width="12.5703125" style="288" customWidth="1"/>
    <col min="41" max="41" width="0.85546875" style="288" customWidth="1"/>
    <col min="42" max="42" width="9.5703125" style="324" customWidth="1"/>
    <col min="43" max="43" width="12.28515625" style="324" customWidth="1"/>
    <col min="44" max="44" width="1.5703125" style="288" customWidth="1"/>
    <col min="45" max="45" width="2.5703125" style="288" customWidth="1"/>
    <col min="46" max="47" width="2.7109375" style="309" customWidth="1"/>
    <col min="48" max="52" width="10.7109375" style="315" customWidth="1"/>
    <col min="53" max="53" width="10.7109375" style="315" hidden="1" customWidth="1"/>
    <col min="54" max="56" width="10.7109375" style="315" customWidth="1"/>
    <col min="57" max="57" width="11" style="315" customWidth="1"/>
    <col min="58" max="62" width="10.7109375" style="315" customWidth="1"/>
    <col min="63" max="63" width="12" style="315" customWidth="1"/>
    <col min="64" max="64" width="11.42578125" style="315" customWidth="1"/>
    <col min="65" max="69" width="10.7109375" style="315" customWidth="1"/>
    <col min="70" max="72" width="10.7109375" style="316" customWidth="1"/>
    <col min="73" max="78" width="14.28515625" style="315" customWidth="1"/>
    <col min="79" max="79" width="14.85546875" style="309" customWidth="1"/>
    <col min="80" max="80" width="14.28515625" style="309" customWidth="1"/>
    <col min="81" max="16384" width="9.140625" style="288"/>
  </cols>
  <sheetData>
    <row r="1" spans="1:80" s="309" customFormat="1" ht="13.5" customHeight="1" x14ac:dyDescent="0.2">
      <c r="D1" s="312"/>
      <c r="K1" s="500"/>
      <c r="L1" s="500"/>
      <c r="U1" s="655"/>
      <c r="V1" s="500"/>
      <c r="Y1" s="655"/>
      <c r="Z1" s="665"/>
      <c r="AG1" s="313"/>
      <c r="AI1" s="313"/>
      <c r="AJ1" s="313"/>
      <c r="AK1" s="314"/>
      <c r="AP1" s="500"/>
      <c r="AQ1" s="500"/>
      <c r="AV1" s="315"/>
      <c r="AW1" s="315"/>
      <c r="AX1" s="315"/>
      <c r="AY1" s="315"/>
      <c r="AZ1" s="315"/>
      <c r="BA1" s="315"/>
      <c r="BB1" s="315"/>
      <c r="BC1" s="315"/>
      <c r="BD1" s="315"/>
      <c r="BE1" s="315"/>
      <c r="BF1" s="315"/>
      <c r="BG1" s="315"/>
      <c r="BH1" s="315"/>
      <c r="BI1" s="315"/>
      <c r="BJ1" s="315"/>
      <c r="BK1" s="315"/>
      <c r="BL1" s="315"/>
      <c r="BM1" s="315"/>
      <c r="BN1" s="315"/>
      <c r="BO1" s="315"/>
      <c r="BP1" s="315"/>
      <c r="BQ1" s="315"/>
      <c r="BR1" s="316"/>
      <c r="BS1" s="316"/>
      <c r="BT1" s="316"/>
      <c r="BU1" s="315"/>
      <c r="BV1" s="315"/>
      <c r="BW1" s="315"/>
      <c r="BX1" s="315"/>
      <c r="BY1" s="315"/>
      <c r="BZ1" s="315"/>
    </row>
    <row r="2" spans="1:80" ht="12" customHeight="1" x14ac:dyDescent="0.2">
      <c r="B2" s="283"/>
      <c r="C2" s="284"/>
      <c r="D2" s="285"/>
      <c r="E2" s="284"/>
      <c r="F2" s="284"/>
      <c r="G2" s="284"/>
      <c r="H2" s="284"/>
      <c r="I2" s="284"/>
      <c r="J2" s="284"/>
      <c r="K2" s="501"/>
      <c r="L2" s="501"/>
      <c r="M2" s="284"/>
      <c r="N2" s="284"/>
      <c r="O2" s="284"/>
      <c r="P2" s="284"/>
      <c r="Q2" s="284"/>
      <c r="R2" s="284"/>
      <c r="S2" s="284"/>
      <c r="T2" s="284"/>
      <c r="U2" s="656"/>
      <c r="V2" s="501"/>
      <c r="W2" s="284"/>
      <c r="X2" s="284"/>
      <c r="Y2" s="656"/>
      <c r="Z2" s="666"/>
      <c r="AA2" s="284"/>
      <c r="AB2" s="284"/>
      <c r="AC2" s="284"/>
      <c r="AD2" s="284"/>
      <c r="AE2" s="284"/>
      <c r="AF2" s="284"/>
      <c r="AG2" s="287"/>
      <c r="AH2" s="284"/>
      <c r="AI2" s="287"/>
      <c r="AJ2" s="287"/>
      <c r="AK2" s="304"/>
      <c r="AL2" s="284"/>
      <c r="AM2" s="284"/>
      <c r="AN2" s="284"/>
      <c r="AO2" s="284"/>
      <c r="AP2" s="501"/>
      <c r="AQ2" s="501"/>
      <c r="AR2" s="284"/>
      <c r="AS2" s="286"/>
    </row>
    <row r="3" spans="1:80" ht="12" customHeight="1" x14ac:dyDescent="0.2">
      <c r="B3" s="289"/>
      <c r="C3" s="282"/>
      <c r="D3" s="280"/>
      <c r="E3" s="282"/>
      <c r="F3" s="282"/>
      <c r="G3" s="282"/>
      <c r="H3" s="282"/>
      <c r="I3" s="282"/>
      <c r="J3" s="282"/>
      <c r="K3" s="303"/>
      <c r="L3" s="303"/>
      <c r="M3" s="282"/>
      <c r="N3" s="282"/>
      <c r="O3" s="282"/>
      <c r="P3" s="282"/>
      <c r="Q3" s="282"/>
      <c r="R3" s="282"/>
      <c r="S3" s="282"/>
      <c r="T3" s="282"/>
      <c r="U3" s="657"/>
      <c r="V3" s="303"/>
      <c r="W3" s="282"/>
      <c r="X3" s="282"/>
      <c r="Y3" s="657"/>
      <c r="Z3" s="667"/>
      <c r="AA3" s="282"/>
      <c r="AB3" s="282"/>
      <c r="AC3" s="282"/>
      <c r="AD3" s="282"/>
      <c r="AE3" s="282"/>
      <c r="AF3" s="282"/>
      <c r="AG3" s="291"/>
      <c r="AH3" s="282"/>
      <c r="AI3" s="291"/>
      <c r="AJ3" s="291"/>
      <c r="AK3" s="305"/>
      <c r="AL3" s="282"/>
      <c r="AM3" s="282"/>
      <c r="AN3" s="282"/>
      <c r="AO3" s="282"/>
      <c r="AP3" s="303"/>
      <c r="AQ3" s="303"/>
      <c r="AR3" s="282"/>
      <c r="AS3" s="290"/>
    </row>
    <row r="4" spans="1:80" s="298" customFormat="1" ht="18.75" customHeight="1" x14ac:dyDescent="0.3">
      <c r="A4" s="310"/>
      <c r="B4" s="292"/>
      <c r="C4" s="687" t="str">
        <f>"WERKGEVERSLASTEN PO "&amp;tabellen!B1</f>
        <v>WERKGEVERSLASTEN PO 2019</v>
      </c>
      <c r="D4" s="293"/>
      <c r="E4" s="294"/>
      <c r="F4" s="294"/>
      <c r="G4" s="294"/>
      <c r="H4" s="294"/>
      <c r="I4" s="687" t="s">
        <v>415</v>
      </c>
      <c r="J4" s="294"/>
      <c r="K4" s="294"/>
      <c r="L4" s="294"/>
      <c r="M4" s="294"/>
      <c r="N4" s="688"/>
      <c r="O4" s="691">
        <f>AP11</f>
        <v>0.61310272074952832</v>
      </c>
      <c r="P4" s="294"/>
      <c r="Q4" s="294"/>
      <c r="R4" s="294"/>
      <c r="S4" s="294"/>
      <c r="T4" s="294"/>
      <c r="U4" s="296"/>
      <c r="V4" s="294"/>
      <c r="W4" s="294"/>
      <c r="X4" s="294"/>
      <c r="Y4" s="296"/>
      <c r="Z4" s="668"/>
      <c r="AA4" s="294"/>
      <c r="AB4" s="294"/>
      <c r="AC4" s="294"/>
      <c r="AD4" s="294"/>
      <c r="AE4" s="294"/>
      <c r="AF4" s="294"/>
      <c r="AG4" s="297"/>
      <c r="AH4" s="294"/>
      <c r="AI4" s="297"/>
      <c r="AJ4" s="297"/>
      <c r="AK4" s="306"/>
      <c r="AL4" s="294"/>
      <c r="AM4" s="294"/>
      <c r="AN4" s="294"/>
      <c r="AO4" s="294"/>
      <c r="AP4" s="294"/>
      <c r="AQ4" s="294"/>
      <c r="AR4" s="294"/>
      <c r="AS4" s="295"/>
      <c r="AT4" s="310"/>
      <c r="AU4" s="310"/>
      <c r="AV4" s="317"/>
      <c r="AW4" s="317"/>
      <c r="AX4" s="317"/>
      <c r="AY4" s="317"/>
      <c r="AZ4" s="317"/>
      <c r="BA4" s="317"/>
      <c r="BB4" s="317"/>
      <c r="BC4" s="317"/>
      <c r="BD4" s="317"/>
      <c r="BE4" s="317"/>
      <c r="BF4" s="317"/>
      <c r="BG4" s="317"/>
      <c r="BH4" s="317"/>
      <c r="BI4" s="317"/>
      <c r="BJ4" s="317"/>
      <c r="BK4" s="317"/>
      <c r="BL4" s="317"/>
      <c r="BM4" s="317"/>
      <c r="BN4" s="317"/>
      <c r="BO4" s="317"/>
      <c r="BP4" s="317"/>
      <c r="BQ4" s="317"/>
      <c r="BR4" s="318"/>
      <c r="BS4" s="318"/>
      <c r="BT4" s="318"/>
      <c r="BU4" s="317"/>
      <c r="BV4" s="317"/>
      <c r="BW4" s="317"/>
      <c r="BX4" s="317"/>
      <c r="BY4" s="317"/>
      <c r="BZ4" s="317"/>
      <c r="CA4" s="310"/>
      <c r="CB4" s="310"/>
    </row>
    <row r="5" spans="1:80" ht="13.5" customHeight="1" x14ac:dyDescent="0.25">
      <c r="B5" s="289"/>
      <c r="C5" s="300" t="str">
        <f>wgl!C5</f>
        <v xml:space="preserve"> vanaf 1 januari 2019</v>
      </c>
      <c r="D5" s="280"/>
      <c r="E5" s="282"/>
      <c r="F5" s="282"/>
      <c r="G5" s="282"/>
      <c r="H5" s="282"/>
      <c r="I5" s="282"/>
      <c r="J5" s="282"/>
      <c r="K5" s="303"/>
      <c r="L5" s="303"/>
      <c r="M5" s="282"/>
      <c r="N5" s="282"/>
      <c r="O5" s="282"/>
      <c r="P5" s="282"/>
      <c r="Q5" s="282"/>
      <c r="R5" s="303"/>
      <c r="S5" s="282"/>
      <c r="T5" s="282"/>
      <c r="U5" s="657"/>
      <c r="V5" s="303"/>
      <c r="W5" s="282"/>
      <c r="X5" s="282"/>
      <c r="Y5" s="657"/>
      <c r="Z5" s="667"/>
      <c r="AA5" s="282"/>
      <c r="AB5" s="282"/>
      <c r="AC5" s="282"/>
      <c r="AD5" s="282"/>
      <c r="AE5" s="282"/>
      <c r="AF5" s="282"/>
      <c r="AG5" s="291"/>
      <c r="AH5" s="282"/>
      <c r="AI5" s="291"/>
      <c r="AJ5" s="291"/>
      <c r="AK5" s="305"/>
      <c r="AL5" s="282"/>
      <c r="AM5" s="282"/>
      <c r="AN5" s="282"/>
      <c r="AO5" s="282"/>
      <c r="AP5" s="303"/>
      <c r="AQ5" s="303"/>
      <c r="AR5" s="282"/>
      <c r="AS5" s="290"/>
    </row>
    <row r="6" spans="1:80" s="447" customFormat="1" ht="12" customHeight="1" x14ac:dyDescent="0.2">
      <c r="A6" s="436"/>
      <c r="B6" s="437"/>
      <c r="C6" s="653"/>
      <c r="D6" s="438"/>
      <c r="E6" s="653"/>
      <c r="F6" s="653"/>
      <c r="G6" s="653"/>
      <c r="H6" s="653"/>
      <c r="I6" s="653"/>
      <c r="J6" s="653"/>
      <c r="K6" s="653"/>
      <c r="L6" s="653"/>
      <c r="M6" s="653"/>
      <c r="N6" s="653"/>
      <c r="O6" s="653"/>
      <c r="P6" s="653"/>
      <c r="Q6" s="653"/>
      <c r="R6" s="653"/>
      <c r="S6" s="653"/>
      <c r="T6" s="653"/>
      <c r="U6" s="658"/>
      <c r="V6" s="653"/>
      <c r="W6" s="653"/>
      <c r="X6" s="653"/>
      <c r="Y6" s="440"/>
      <c r="Z6" s="669"/>
      <c r="AA6" s="653"/>
      <c r="AB6" s="653"/>
      <c r="AC6" s="653"/>
      <c r="AD6" s="653"/>
      <c r="AE6" s="653"/>
      <c r="AF6" s="653"/>
      <c r="AG6" s="442"/>
      <c r="AH6" s="653"/>
      <c r="AI6" s="442"/>
      <c r="AJ6" s="442"/>
      <c r="AK6" s="443"/>
      <c r="AL6" s="653"/>
      <c r="AM6" s="653"/>
      <c r="AN6" s="653"/>
      <c r="AO6" s="653"/>
      <c r="AP6" s="653"/>
      <c r="AQ6" s="653"/>
      <c r="AR6" s="653"/>
      <c r="AS6" s="444"/>
      <c r="AT6" s="436"/>
      <c r="AU6" s="436"/>
      <c r="AV6" s="445"/>
      <c r="AW6" s="445"/>
      <c r="AX6" s="445"/>
      <c r="AY6" s="445"/>
      <c r="AZ6" s="445"/>
      <c r="BA6" s="445"/>
      <c r="BB6" s="445"/>
      <c r="BC6" s="445"/>
      <c r="BD6" s="445"/>
      <c r="BE6" s="445"/>
      <c r="BF6" s="445"/>
      <c r="BG6" s="445"/>
      <c r="BH6" s="445"/>
      <c r="BI6" s="445"/>
      <c r="BJ6" s="445"/>
      <c r="BK6" s="445"/>
      <c r="BL6" s="445"/>
      <c r="BM6" s="445"/>
      <c r="BN6" s="445"/>
      <c r="BO6" s="445"/>
      <c r="BP6" s="445"/>
      <c r="BQ6" s="445"/>
      <c r="BR6" s="446"/>
      <c r="BS6" s="446"/>
      <c r="BT6" s="446"/>
      <c r="BU6" s="445"/>
      <c r="BV6" s="445"/>
      <c r="BW6" s="445"/>
      <c r="BX6" s="445"/>
      <c r="BY6" s="445"/>
      <c r="BZ6" s="445"/>
      <c r="CA6" s="436"/>
      <c r="CB6" s="436"/>
    </row>
    <row r="7" spans="1:80" s="456" customFormat="1" ht="12" customHeight="1" x14ac:dyDescent="0.2">
      <c r="A7" s="448"/>
      <c r="B7" s="449"/>
      <c r="C7" s="450"/>
      <c r="D7" s="450"/>
      <c r="E7" s="450"/>
      <c r="F7" s="451"/>
      <c r="G7" s="450"/>
      <c r="H7" s="450"/>
      <c r="I7" s="450"/>
      <c r="J7" s="450"/>
      <c r="K7" s="450"/>
      <c r="L7" s="450"/>
      <c r="M7" s="450"/>
      <c r="N7" s="653"/>
      <c r="O7" s="450"/>
      <c r="P7" s="451"/>
      <c r="Q7" s="450"/>
      <c r="R7" s="450"/>
      <c r="S7" s="450"/>
      <c r="T7" s="450"/>
      <c r="U7" s="659"/>
      <c r="V7" s="450"/>
      <c r="W7" s="453"/>
      <c r="X7" s="450"/>
      <c r="Y7" s="663"/>
      <c r="Z7" s="670"/>
      <c r="AA7" s="450"/>
      <c r="AB7" s="450"/>
      <c r="AC7" s="450"/>
      <c r="AD7" s="450"/>
      <c r="AE7" s="441"/>
      <c r="AF7" s="441"/>
      <c r="AG7" s="442"/>
      <c r="AH7" s="450"/>
      <c r="AI7" s="442"/>
      <c r="AJ7" s="442"/>
      <c r="AK7" s="452"/>
      <c r="AL7" s="450"/>
      <c r="AM7" s="453"/>
      <c r="AN7" s="453"/>
      <c r="AO7" s="450"/>
      <c r="AP7" s="450"/>
      <c r="AQ7" s="450"/>
      <c r="AR7" s="450"/>
      <c r="AS7" s="454"/>
      <c r="AT7" s="448"/>
      <c r="AU7" s="448"/>
      <c r="AV7" s="445"/>
      <c r="AW7" s="445"/>
      <c r="AX7" s="445"/>
      <c r="AY7" s="445"/>
      <c r="AZ7" s="445"/>
      <c r="BA7" s="445"/>
      <c r="BB7" s="445"/>
      <c r="BC7" s="445"/>
      <c r="BD7" s="445"/>
      <c r="BE7" s="445"/>
      <c r="BF7" s="445"/>
      <c r="BG7" s="445"/>
      <c r="BH7" s="445"/>
      <c r="BI7" s="445"/>
      <c r="BJ7" s="445"/>
      <c r="BK7" s="445"/>
      <c r="BL7" s="445"/>
      <c r="BM7" s="445"/>
      <c r="BN7" s="445"/>
      <c r="BO7" s="445"/>
      <c r="BP7" s="445"/>
      <c r="BQ7" s="445"/>
      <c r="BR7" s="455"/>
      <c r="BS7" s="455"/>
      <c r="BT7" s="446"/>
      <c r="BU7" s="445"/>
      <c r="BV7" s="445"/>
      <c r="BW7" s="445"/>
      <c r="BX7" s="445"/>
      <c r="BY7" s="445"/>
      <c r="BZ7" s="445"/>
      <c r="CA7" s="448"/>
      <c r="CB7" s="448"/>
    </row>
    <row r="8" spans="1:80" s="447" customFormat="1" ht="12" customHeight="1" x14ac:dyDescent="0.2">
      <c r="A8" s="436"/>
      <c r="B8" s="437"/>
      <c r="C8" s="653"/>
      <c r="D8" s="438" t="s">
        <v>342</v>
      </c>
      <c r="E8" s="653" t="s">
        <v>339</v>
      </c>
      <c r="F8" s="697" t="s">
        <v>232</v>
      </c>
      <c r="G8" s="697"/>
      <c r="H8" s="653" t="s">
        <v>195</v>
      </c>
      <c r="I8" s="653" t="s">
        <v>343</v>
      </c>
      <c r="J8" s="653" t="s">
        <v>44</v>
      </c>
      <c r="K8" s="653" t="s">
        <v>230</v>
      </c>
      <c r="L8" s="439" t="s">
        <v>386</v>
      </c>
      <c r="M8" s="653"/>
      <c r="N8" s="653" t="s">
        <v>235</v>
      </c>
      <c r="O8" s="653" t="s">
        <v>237</v>
      </c>
      <c r="P8" s="653" t="s">
        <v>233</v>
      </c>
      <c r="Q8" s="653" t="s">
        <v>220</v>
      </c>
      <c r="R8" s="653" t="s">
        <v>213</v>
      </c>
      <c r="S8" s="653" t="s">
        <v>237</v>
      </c>
      <c r="T8" s="653" t="s">
        <v>340</v>
      </c>
      <c r="U8" s="440" t="s">
        <v>227</v>
      </c>
      <c r="V8" s="664">
        <v>8.0000000000000002E-3</v>
      </c>
      <c r="W8" s="661" t="s">
        <v>382</v>
      </c>
      <c r="X8" s="653"/>
      <c r="Y8" s="440" t="s">
        <v>211</v>
      </c>
      <c r="Z8" s="671" t="s">
        <v>225</v>
      </c>
      <c r="AA8" s="653"/>
      <c r="AB8" s="653" t="s">
        <v>37</v>
      </c>
      <c r="AC8" s="653" t="s">
        <v>162</v>
      </c>
      <c r="AD8" s="457" t="s">
        <v>348</v>
      </c>
      <c r="AE8" s="458" t="s">
        <v>157</v>
      </c>
      <c r="AF8" s="459" t="s">
        <v>242</v>
      </c>
      <c r="AG8" s="460" t="s">
        <v>43</v>
      </c>
      <c r="AH8" s="653"/>
      <c r="AI8" s="460" t="s">
        <v>44</v>
      </c>
      <c r="AJ8" s="460" t="s">
        <v>45</v>
      </c>
      <c r="AK8" s="678" t="s">
        <v>240</v>
      </c>
      <c r="AL8" s="653"/>
      <c r="AM8" s="696" t="s">
        <v>349</v>
      </c>
      <c r="AN8" s="696"/>
      <c r="AO8" s="653"/>
      <c r="AP8" s="439" t="s">
        <v>379</v>
      </c>
      <c r="AQ8" s="439" t="s">
        <v>379</v>
      </c>
      <c r="AR8" s="653"/>
      <c r="AS8" s="444"/>
      <c r="AT8" s="436"/>
      <c r="AU8" s="436"/>
      <c r="AV8" s="445" t="s">
        <v>350</v>
      </c>
      <c r="AW8" s="445" t="s">
        <v>350</v>
      </c>
      <c r="AX8" s="445" t="s">
        <v>350</v>
      </c>
      <c r="AY8" s="445" t="s">
        <v>350</v>
      </c>
      <c r="AZ8" s="445" t="s">
        <v>239</v>
      </c>
      <c r="BA8" s="445" t="s">
        <v>212</v>
      </c>
      <c r="BB8" s="445" t="s">
        <v>350</v>
      </c>
      <c r="BC8" s="445" t="s">
        <v>350</v>
      </c>
      <c r="BD8" s="445" t="s">
        <v>350</v>
      </c>
      <c r="BE8" s="445" t="s">
        <v>350</v>
      </c>
      <c r="BF8" s="462" t="s">
        <v>37</v>
      </c>
      <c r="BG8" s="462" t="s">
        <v>162</v>
      </c>
      <c r="BH8" s="462" t="s">
        <v>352</v>
      </c>
      <c r="BI8" s="462" t="s">
        <v>353</v>
      </c>
      <c r="BJ8" s="462" t="s">
        <v>354</v>
      </c>
      <c r="BK8" s="462" t="s">
        <v>355</v>
      </c>
      <c r="BL8" s="462" t="s">
        <v>222</v>
      </c>
      <c r="BM8" s="462"/>
      <c r="BN8" s="462"/>
      <c r="BO8" s="445"/>
      <c r="BP8" s="445"/>
      <c r="BQ8" s="445"/>
      <c r="BR8" s="445"/>
      <c r="BS8" s="445"/>
      <c r="BT8" s="445"/>
      <c r="BU8" s="445"/>
      <c r="BV8" s="445"/>
      <c r="BW8" s="445"/>
      <c r="BX8" s="445"/>
      <c r="BY8" s="445"/>
      <c r="BZ8" s="445"/>
      <c r="CA8" s="436"/>
      <c r="CB8" s="448"/>
    </row>
    <row r="9" spans="1:80" s="447" customFormat="1" ht="12" customHeight="1" x14ac:dyDescent="0.2">
      <c r="A9" s="436"/>
      <c r="B9" s="437"/>
      <c r="C9" s="653"/>
      <c r="D9" s="438"/>
      <c r="E9" s="653"/>
      <c r="F9" s="440" t="s">
        <v>21</v>
      </c>
      <c r="G9" s="440" t="s">
        <v>22</v>
      </c>
      <c r="H9" s="653"/>
      <c r="I9" s="653" t="s">
        <v>51</v>
      </c>
      <c r="J9" s="653"/>
      <c r="K9" s="653" t="s">
        <v>231</v>
      </c>
      <c r="L9" s="440" t="s">
        <v>385</v>
      </c>
      <c r="M9" s="653"/>
      <c r="N9" s="653" t="s">
        <v>236</v>
      </c>
      <c r="O9" s="653" t="s">
        <v>236</v>
      </c>
      <c r="P9" s="653" t="s">
        <v>234</v>
      </c>
      <c r="Q9" s="653" t="s">
        <v>221</v>
      </c>
      <c r="R9" s="653" t="s">
        <v>356</v>
      </c>
      <c r="S9" s="653" t="s">
        <v>238</v>
      </c>
      <c r="T9" s="653" t="s">
        <v>341</v>
      </c>
      <c r="U9" s="440" t="s">
        <v>228</v>
      </c>
      <c r="V9" s="653" t="s">
        <v>226</v>
      </c>
      <c r="W9" s="662" t="s">
        <v>380</v>
      </c>
      <c r="X9" s="653"/>
      <c r="Y9" s="440" t="s">
        <v>42</v>
      </c>
      <c r="Z9" s="671" t="s">
        <v>226</v>
      </c>
      <c r="AA9" s="653"/>
      <c r="AB9" s="653"/>
      <c r="AC9" s="653"/>
      <c r="AD9" s="457" t="s">
        <v>347</v>
      </c>
      <c r="AE9" s="457"/>
      <c r="AF9" s="457" t="s">
        <v>38</v>
      </c>
      <c r="AG9" s="443"/>
      <c r="AH9" s="653"/>
      <c r="AI9" s="460"/>
      <c r="AJ9" s="460"/>
      <c r="AK9" s="461"/>
      <c r="AL9" s="653"/>
      <c r="AM9" s="463" t="s">
        <v>42</v>
      </c>
      <c r="AN9" s="463" t="s">
        <v>229</v>
      </c>
      <c r="AO9" s="653"/>
      <c r="AP9" s="439" t="s">
        <v>383</v>
      </c>
      <c r="AQ9" s="439" t="s">
        <v>384</v>
      </c>
      <c r="AR9" s="653"/>
      <c r="AS9" s="444"/>
      <c r="AT9" s="436"/>
      <c r="AU9" s="436"/>
      <c r="AV9" s="464">
        <f ca="1">NOW()</f>
        <v>43364.939215393519</v>
      </c>
      <c r="AW9" s="445" t="s">
        <v>217</v>
      </c>
      <c r="AX9" s="445" t="s">
        <v>217</v>
      </c>
      <c r="AY9" s="445" t="s">
        <v>219</v>
      </c>
      <c r="AZ9" s="465" t="s">
        <v>21</v>
      </c>
      <c r="BA9" s="445" t="s">
        <v>218</v>
      </c>
      <c r="BB9" s="445" t="s">
        <v>216</v>
      </c>
      <c r="BC9" s="445" t="s">
        <v>215</v>
      </c>
      <c r="BD9" s="455" t="s">
        <v>214</v>
      </c>
      <c r="BE9" s="445" t="s">
        <v>351</v>
      </c>
      <c r="BF9" s="445"/>
      <c r="BG9" s="445"/>
      <c r="BH9" s="455" t="s">
        <v>348</v>
      </c>
      <c r="BI9" s="445" t="s">
        <v>224</v>
      </c>
      <c r="BJ9" s="445" t="s">
        <v>71</v>
      </c>
      <c r="BK9" s="445" t="s">
        <v>38</v>
      </c>
      <c r="BL9" s="445" t="s">
        <v>223</v>
      </c>
      <c r="BM9" s="445"/>
      <c r="BN9" s="445"/>
      <c r="BO9" s="445"/>
      <c r="BP9" s="445" t="s">
        <v>217</v>
      </c>
      <c r="BQ9" s="445" t="s">
        <v>265</v>
      </c>
      <c r="BR9" s="445"/>
      <c r="BS9" s="445"/>
      <c r="BT9" s="445"/>
      <c r="BU9" s="445"/>
      <c r="BV9" s="445"/>
      <c r="BW9" s="445"/>
      <c r="BX9" s="445"/>
      <c r="BY9" s="445"/>
      <c r="BZ9" s="445"/>
      <c r="CA9" s="436"/>
      <c r="CB9" s="436"/>
    </row>
    <row r="10" spans="1:80" s="447" customFormat="1" ht="12" customHeight="1" x14ac:dyDescent="0.2">
      <c r="A10" s="436"/>
      <c r="B10" s="437"/>
      <c r="C10" s="653"/>
      <c r="D10" s="438"/>
      <c r="E10" s="653"/>
      <c r="F10" s="653"/>
      <c r="G10" s="653"/>
      <c r="H10" s="653"/>
      <c r="I10" s="653"/>
      <c r="J10" s="653"/>
      <c r="K10" s="653"/>
      <c r="L10" s="653"/>
      <c r="M10" s="653"/>
      <c r="N10" s="653"/>
      <c r="O10" s="653"/>
      <c r="P10" s="653"/>
      <c r="Q10" s="653"/>
      <c r="R10" s="653"/>
      <c r="S10" s="653"/>
      <c r="T10" s="653"/>
      <c r="U10" s="440"/>
      <c r="V10" s="653"/>
      <c r="W10" s="439"/>
      <c r="X10" s="653"/>
      <c r="Y10" s="440"/>
      <c r="Z10" s="672"/>
      <c r="AA10" s="653"/>
      <c r="AB10" s="653"/>
      <c r="AC10" s="653"/>
      <c r="AD10" s="653"/>
      <c r="AE10" s="653"/>
      <c r="AF10" s="653"/>
      <c r="AG10" s="442"/>
      <c r="AH10" s="653"/>
      <c r="AI10" s="466"/>
      <c r="AJ10" s="466"/>
      <c r="AK10" s="460"/>
      <c r="AL10" s="653"/>
      <c r="AM10" s="439"/>
      <c r="AN10" s="439"/>
      <c r="AO10" s="653"/>
      <c r="AP10" s="653"/>
      <c r="AQ10" s="653"/>
      <c r="AR10" s="653"/>
      <c r="AS10" s="444"/>
      <c r="AT10" s="436"/>
      <c r="AU10" s="436"/>
      <c r="AV10" s="464"/>
      <c r="AW10" s="445"/>
      <c r="AX10" s="445"/>
      <c r="AY10" s="445" t="s">
        <v>325</v>
      </c>
      <c r="AZ10" s="445"/>
      <c r="BA10" s="445"/>
      <c r="BB10" s="445"/>
      <c r="BC10" s="445"/>
      <c r="BD10" s="445"/>
      <c r="BE10" s="445"/>
      <c r="BF10" s="445"/>
      <c r="BG10" s="445"/>
      <c r="BH10" s="445"/>
      <c r="BI10" s="445"/>
      <c r="BJ10" s="445"/>
      <c r="BK10" s="445"/>
      <c r="BL10" s="445"/>
      <c r="BM10" s="445"/>
      <c r="BN10" s="445"/>
      <c r="BO10" s="445"/>
      <c r="BP10" s="445"/>
      <c r="BQ10" s="445"/>
      <c r="BR10" s="445"/>
      <c r="BS10" s="445"/>
      <c r="BT10" s="464"/>
      <c r="BU10" s="445"/>
      <c r="BV10" s="445"/>
      <c r="BW10" s="445"/>
      <c r="BX10" s="445"/>
      <c r="BY10" s="445"/>
      <c r="BZ10" s="445"/>
      <c r="CA10" s="436"/>
      <c r="CB10" s="436"/>
    </row>
    <row r="11" spans="1:80" s="447" customFormat="1" ht="12" customHeight="1" x14ac:dyDescent="0.2">
      <c r="A11" s="436"/>
      <c r="B11" s="437"/>
      <c r="C11" s="467"/>
      <c r="D11" s="468"/>
      <c r="E11" s="467"/>
      <c r="F11" s="467"/>
      <c r="G11" s="467"/>
      <c r="H11" s="467"/>
      <c r="I11" s="467"/>
      <c r="J11" s="467"/>
      <c r="K11" s="467"/>
      <c r="L11" s="478">
        <f>SUM(L12:L86)</f>
        <v>37810</v>
      </c>
      <c r="M11" s="467"/>
      <c r="N11" s="467"/>
      <c r="O11" s="467"/>
      <c r="P11" s="467"/>
      <c r="Q11" s="467"/>
      <c r="R11" s="467"/>
      <c r="S11" s="467"/>
      <c r="T11" s="467"/>
      <c r="U11" s="469"/>
      <c r="V11" s="467"/>
      <c r="W11" s="478">
        <f>SUM(W12:W86)</f>
        <v>525963.39295999997</v>
      </c>
      <c r="X11" s="467"/>
      <c r="Y11" s="469"/>
      <c r="Z11" s="673"/>
      <c r="AA11" s="467"/>
      <c r="AB11" s="467"/>
      <c r="AC11" s="467"/>
      <c r="AD11" s="467"/>
      <c r="AE11" s="467"/>
      <c r="AF11" s="467"/>
      <c r="AG11" s="470"/>
      <c r="AH11" s="467"/>
      <c r="AI11" s="471"/>
      <c r="AJ11" s="471"/>
      <c r="AK11" s="472"/>
      <c r="AL11" s="467"/>
      <c r="AM11" s="478">
        <f>SUM(AM12:AM86)</f>
        <v>60991.413871539669</v>
      </c>
      <c r="AN11" s="478">
        <f>SUM(AN12:AN86)</f>
        <v>731896.96645847603</v>
      </c>
      <c r="AO11" s="467"/>
      <c r="AP11" s="480">
        <f>AM11/L11-1</f>
        <v>0.61310272074952832</v>
      </c>
      <c r="AQ11" s="480">
        <f>(AM11/(W11/12))-1</f>
        <v>0.39153594386014134</v>
      </c>
      <c r="AR11" s="467"/>
      <c r="AS11" s="444"/>
      <c r="AT11" s="436"/>
      <c r="AU11" s="436"/>
      <c r="AV11" s="464"/>
      <c r="AW11" s="445"/>
      <c r="AX11" s="445"/>
      <c r="AY11" s="445"/>
      <c r="AZ11" s="445"/>
      <c r="BA11" s="445"/>
      <c r="BB11" s="445"/>
      <c r="BC11" s="445"/>
      <c r="BD11" s="445"/>
      <c r="BE11" s="445"/>
      <c r="BF11" s="445"/>
      <c r="BG11" s="445"/>
      <c r="BH11" s="445"/>
      <c r="BI11" s="445"/>
      <c r="BJ11" s="445"/>
      <c r="BK11" s="445"/>
      <c r="BL11" s="445"/>
      <c r="BM11" s="445"/>
      <c r="BN11" s="445"/>
      <c r="BO11" s="445"/>
      <c r="BP11" s="445"/>
      <c r="BQ11" s="445"/>
      <c r="BR11" s="445"/>
      <c r="BS11" s="445"/>
      <c r="BT11" s="445"/>
      <c r="BU11" s="445"/>
      <c r="BV11" s="445"/>
      <c r="BW11" s="445"/>
      <c r="BX11" s="445"/>
      <c r="BY11" s="445"/>
      <c r="BZ11" s="445"/>
      <c r="CA11" s="436"/>
      <c r="CB11" s="436"/>
    </row>
    <row r="12" spans="1:80" s="447" customFormat="1" ht="12" customHeight="1" x14ac:dyDescent="0.2">
      <c r="A12" s="436"/>
      <c r="B12" s="437"/>
      <c r="C12" s="467"/>
      <c r="D12" s="473" t="s">
        <v>342</v>
      </c>
      <c r="E12" s="474">
        <v>21915</v>
      </c>
      <c r="F12" s="475" t="s">
        <v>314</v>
      </c>
      <c r="G12" s="475">
        <v>1</v>
      </c>
      <c r="H12" s="476">
        <v>1</v>
      </c>
      <c r="I12" s="475" t="s">
        <v>381</v>
      </c>
      <c r="J12" s="477">
        <v>1</v>
      </c>
      <c r="K12" s="497">
        <f>IF(F12="",0,(VLOOKUP('wgl tot'!F12,saltab2019,'wgl tot'!G12+1,FALSE)))</f>
        <v>2563</v>
      </c>
      <c r="L12" s="479">
        <f t="shared" ref="L12:L50" si="0">K12*H12</f>
        <v>2563</v>
      </c>
      <c r="M12" s="467"/>
      <c r="N12" s="497">
        <f>ROUND(IF(('wgl tot'!L12+'wgl tot'!P12)*BB12&lt;'wgl tot'!H12*tabellen!$D$43,'wgl tot'!H12*tabellen!$D$43,('wgl tot'!L12+'wgl tot'!P12)*BB12),2)</f>
        <v>205.04</v>
      </c>
      <c r="O12" s="497">
        <f>ROUND(+('wgl tot'!L12+'wgl tot'!P12)*BC12,2)</f>
        <v>161.47</v>
      </c>
      <c r="P12" s="497">
        <f>ROUND(IF(I12="j",VLOOKUP(AZ12,uitlooptoeslag,2,FALSE))*IF('wgl tot'!H12&gt;1,1,'wgl tot'!H12),2)</f>
        <v>0</v>
      </c>
      <c r="Q12" s="497">
        <f>ROUND(IF(BE12="j",tabellen!$D$52*IF('wgl tot'!H12&gt;1,1,'wgl tot'!H12),0),2)</f>
        <v>0</v>
      </c>
      <c r="R12" s="497">
        <f>IF(AND(F12&gt;0,F12&lt;17),tabellen!$C$37*'wgl tot'!H12,0)</f>
        <v>0</v>
      </c>
      <c r="S12" s="497">
        <f>VLOOKUP(BD12,eindejaarsuitkering_OOP,2,TRUE)*'wgl tot'!H12/12</f>
        <v>0</v>
      </c>
      <c r="T12" s="497">
        <f>ROUND(H12*tabellen!$D$50,2)</f>
        <v>200</v>
      </c>
      <c r="U12" s="498">
        <f t="shared" ref="U12:U43" si="1">ROUND(((SUM(L12:S12)*12)+T12),0)</f>
        <v>35354</v>
      </c>
      <c r="V12" s="497">
        <f>('wgl tot'!L12+'wgl tot'!P12)*tabellen!$C$39*12</f>
        <v>246.048</v>
      </c>
      <c r="W12" s="479">
        <f>U12+V12</f>
        <v>35600.048000000003</v>
      </c>
      <c r="X12" s="467"/>
      <c r="Y12" s="498">
        <f>U12/12</f>
        <v>2946.1666666666665</v>
      </c>
      <c r="Z12" s="674">
        <f>+'wgl tot'!V12/12</f>
        <v>20.504000000000001</v>
      </c>
      <c r="AA12" s="467"/>
      <c r="AB12" s="497">
        <f>IF(F12="",0,(IF('wgl tot'!U12/'wgl tot'!H12&lt;tabellen!$E$6,0,('wgl tot'!U12-tabellen!$E$6*'wgl tot'!H12)/12)*tabellen!$C$6))</f>
        <v>293.9367666666667</v>
      </c>
      <c r="AC12" s="497">
        <f>IF(F12="",0,(IF('wgl tot'!U12/'wgl tot'!H12&lt;tabellen!$E$7,0,(+'wgl tot'!U12-tabellen!$E$7*'wgl tot'!H12)/12)*tabellen!$C$7))</f>
        <v>4.3470000000000004</v>
      </c>
      <c r="AD12" s="497">
        <f>'wgl tot'!U12/12*tabellen!$C$8</f>
        <v>76.600333333333325</v>
      </c>
      <c r="AE12" s="497">
        <f>IF(H12=0,0,IF(BJ12&gt;tabellen!$G$9/12,tabellen!$G$9/12,BJ12)*(tabellen!$C$9+tabellen!$C$10))</f>
        <v>221.14522832333333</v>
      </c>
      <c r="AF12" s="497">
        <f>IF(F12="",0,('wgl tot'!BK12))</f>
        <v>195.88</v>
      </c>
      <c r="AG12" s="499">
        <f>IF(F12="",0,(IF('wgl tot'!BJ12&gt;tabellen!$G$12*'wgl tot'!H12/12,tabellen!$G$12*'wgl tot'!H12/12,'wgl tot'!BJ12)*tabellen!$C$12))</f>
        <v>22.142911179999999</v>
      </c>
      <c r="AH12" s="467"/>
      <c r="AI12" s="499">
        <f>IF(F12="",0,('wgl tot'!BJ12*IF(J12=1,tabellen!$C$13,IF(J12=2,tabellen!$C$14,IF(J12=3,tabellen!$C$15,tabellen!$C$16)))))</f>
        <v>166.07183385000002</v>
      </c>
      <c r="AJ12" s="499">
        <f>IF(F12="",0,('wgl tot'!BJ12*tabellen!$C$17))</f>
        <v>149.03882525</v>
      </c>
      <c r="AK12" s="679">
        <v>0</v>
      </c>
      <c r="AL12" s="467"/>
      <c r="AM12" s="479">
        <f t="shared" ref="AM12:AM43" si="2">SUM(Y12:AK12)</f>
        <v>4095.8335652700002</v>
      </c>
      <c r="AN12" s="479">
        <f>AM12*12</f>
        <v>49150.002783240001</v>
      </c>
      <c r="AO12" s="467"/>
      <c r="AP12" s="503">
        <f t="shared" ref="AP12:AP43" si="3">IF(AM12=0,"",(AM12/L12-1))</f>
        <v>0.59806225722590733</v>
      </c>
      <c r="AQ12" s="503">
        <f t="shared" ref="AQ12:AQ43" si="4">IF(AM12=0,"",(AM12/(W12/12))-1)</f>
        <v>0.38061619420400783</v>
      </c>
      <c r="AR12" s="467"/>
      <c r="AS12" s="444"/>
      <c r="AT12" s="436"/>
      <c r="AU12" s="436"/>
      <c r="AV12" s="481">
        <f ca="1">YEAR('wgl tot'!$AV$9)-YEAR('wgl tot'!E12)</f>
        <v>59</v>
      </c>
      <c r="AW12" s="481">
        <f ca="1">MONTH('wgl tot'!$AV$9)-MONTH('wgl tot'!E12)</f>
        <v>-3</v>
      </c>
      <c r="AX12" s="481">
        <f ca="1">DAY('wgl tot'!$AV$9)-DAY('wgl tot'!E12)</f>
        <v>-10</v>
      </c>
      <c r="AY12" s="445">
        <f>IF(AND('wgl tot'!F12&gt;0,'wgl tot'!F12&lt;17),0,100)</f>
        <v>100</v>
      </c>
      <c r="AZ12" s="445" t="str">
        <f t="shared" ref="AZ12:AZ43" si="5">F12</f>
        <v>L10</v>
      </c>
      <c r="BA12" s="464">
        <v>42583</v>
      </c>
      <c r="BB12" s="482">
        <v>0.08</v>
      </c>
      <c r="BC12" s="483">
        <f>+tabellen!$D$44</f>
        <v>6.3E-2</v>
      </c>
      <c r="BD12" s="481">
        <f>IF('wgl tot'!AY12=100,0,'wgl tot'!F12)</f>
        <v>0</v>
      </c>
      <c r="BE12" s="483" t="str">
        <f>IF(OR('wgl tot'!F12="DA",'wgl tot'!F12="DB",'wgl tot'!F12="DBuit",'wgl tot'!F12="DC",'wgl tot'!F12="DCuit",MID('wgl tot'!F12,1,5)="meerh"),"j","n")</f>
        <v>n</v>
      </c>
      <c r="BF12" s="485">
        <f>IF('wgl tot'!U12/'wgl tot'!H12&lt;tabellen!$E$6,0,(+'wgl tot'!U12-tabellen!$E$6*'wgl tot'!H12)/12*tabellen!$D$6)</f>
        <v>125.9729</v>
      </c>
      <c r="BG12" s="485">
        <f>IF('wgl tot'!U12/'wgl tot'!H12&lt;tabellen!$E$7,0,(+'wgl tot'!U12-tabellen!$E$7*'wgl tot'!H12)/12*tabellen!$D$7)</f>
        <v>1.863</v>
      </c>
      <c r="BH12" s="485">
        <f>'wgl tot'!U12/12*tabellen!$D$8</f>
        <v>0</v>
      </c>
      <c r="BI12" s="486">
        <f t="shared" ref="BI12:BI24" si="6">SUM(BF12:BH12)</f>
        <v>127.8359</v>
      </c>
      <c r="BJ12" s="487">
        <f>+(U12+V12)/12-'wgl tot'!BI12</f>
        <v>2838.8347666666668</v>
      </c>
      <c r="BK12" s="487">
        <f>ROUND(IF('wgl tot'!BJ12&gt;tabellen!$H$11,tabellen!$H$11,'wgl tot'!BJ12)*tabellen!$C$11,2)</f>
        <v>195.88</v>
      </c>
      <c r="BL12" s="487">
        <f>+'wgl tot'!BJ12+'wgl tot'!BK12</f>
        <v>3034.7147666666669</v>
      </c>
      <c r="BM12" s="488">
        <f t="shared" ref="BM12:BM43" si="7">YEAR(E12)</f>
        <v>1959</v>
      </c>
      <c r="BN12" s="488">
        <f t="shared" ref="BN12:BN43" si="8">MONTH(E12)</f>
        <v>12</v>
      </c>
      <c r="BO12" s="481">
        <f t="shared" ref="BO12:BO43" si="9">DAY(E12)</f>
        <v>31</v>
      </c>
      <c r="BP12" s="464">
        <f>DATE(BM12+61,BN12+6,BO12)</f>
        <v>44378</v>
      </c>
      <c r="BQ12" s="464">
        <f ca="1">NOW()</f>
        <v>43364.939215393519</v>
      </c>
      <c r="BR12" s="445"/>
      <c r="BS12" s="464"/>
      <c r="BT12" s="445"/>
      <c r="BU12" s="484"/>
      <c r="BV12" s="484"/>
      <c r="BW12" s="484"/>
      <c r="BX12" s="484"/>
      <c r="BY12" s="484"/>
      <c r="BZ12" s="484"/>
      <c r="CA12" s="436"/>
      <c r="CB12" s="436"/>
    </row>
    <row r="13" spans="1:80" s="447" customFormat="1" ht="12" customHeight="1" x14ac:dyDescent="0.2">
      <c r="A13" s="436"/>
      <c r="B13" s="437"/>
      <c r="C13" s="467"/>
      <c r="D13" s="473" t="s">
        <v>342</v>
      </c>
      <c r="E13" s="474">
        <v>21916</v>
      </c>
      <c r="F13" s="475" t="s">
        <v>314</v>
      </c>
      <c r="G13" s="475">
        <v>10</v>
      </c>
      <c r="H13" s="476">
        <v>1</v>
      </c>
      <c r="I13" s="475" t="s">
        <v>381</v>
      </c>
      <c r="J13" s="477">
        <v>1</v>
      </c>
      <c r="K13" s="497">
        <f>IF(F13="",0,(VLOOKUP('wgl tot'!F13,saltab2019,'wgl tot'!G13+1,FALSE)))</f>
        <v>3350</v>
      </c>
      <c r="L13" s="479">
        <f t="shared" si="0"/>
        <v>3350</v>
      </c>
      <c r="M13" s="467"/>
      <c r="N13" s="497">
        <f>ROUND(IF(('wgl tot'!L13+'wgl tot'!P13)*BB13&lt;'wgl tot'!H13*tabellen!$D$43,'wgl tot'!H13*tabellen!$D$43,('wgl tot'!L13+'wgl tot'!P13)*BB13),2)</f>
        <v>268</v>
      </c>
      <c r="O13" s="497">
        <f>ROUND(+('wgl tot'!L13+'wgl tot'!P13)*BC13,2)</f>
        <v>211.05</v>
      </c>
      <c r="P13" s="497">
        <f>ROUND(IF(I13="j",VLOOKUP(AZ13,uitlooptoeslag,2,FALSE))*IF('wgl tot'!H13&gt;1,1,'wgl tot'!H13),2)</f>
        <v>0</v>
      </c>
      <c r="Q13" s="497">
        <f>ROUND(IF(BE13="j",tabellen!$D$52*IF('wgl tot'!H13&gt;1,1,'wgl tot'!H13),0),2)</f>
        <v>0</v>
      </c>
      <c r="R13" s="497">
        <f>IF(AND(F13&gt;0,F13&lt;17),tabellen!$C$37*'wgl tot'!H13,0)</f>
        <v>0</v>
      </c>
      <c r="S13" s="497">
        <f>VLOOKUP(BD13,eindejaarsuitkering_OOP,2,TRUE)*'wgl tot'!H13/12</f>
        <v>0</v>
      </c>
      <c r="T13" s="497">
        <f>ROUND('wgl tot'!H13*tabellen!$D$50,2)</f>
        <v>200</v>
      </c>
      <c r="U13" s="498">
        <f t="shared" si="1"/>
        <v>46149</v>
      </c>
      <c r="V13" s="497">
        <f>('wgl tot'!L13+'wgl tot'!P13)*tabellen!$C$39*12</f>
        <v>321.60000000000002</v>
      </c>
      <c r="W13" s="479">
        <f t="shared" ref="W13:W76" si="10">U13+V13</f>
        <v>46470.6</v>
      </c>
      <c r="X13" s="467"/>
      <c r="Y13" s="498">
        <f t="shared" ref="Y13:Y86" si="11">U13/12</f>
        <v>3845.75</v>
      </c>
      <c r="Z13" s="674">
        <f>+'wgl tot'!V13/12</f>
        <v>26.8</v>
      </c>
      <c r="AA13" s="467"/>
      <c r="AB13" s="497">
        <f>IF(F13="",0,(IF('wgl tot'!U13/'wgl tot'!H13&lt;tabellen!$E$6,0,('wgl tot'!U13-tabellen!$E$6*'wgl tot'!H13)/12)*tabellen!$C$6))</f>
        <v>438.13997499999999</v>
      </c>
      <c r="AC13" s="497">
        <f>IF(F13="",0,(IF('wgl tot'!U13/'wgl tot'!H13&lt;tabellen!$E$7,0,(+'wgl tot'!U13-tabellen!$E$7*'wgl tot'!H13)/12)*tabellen!$C$7))</f>
        <v>7.495541666666667</v>
      </c>
      <c r="AD13" s="497">
        <f>'wgl tot'!U13/12*tabellen!$C$8</f>
        <v>99.989499999999992</v>
      </c>
      <c r="AE13" s="497">
        <f>IF(H13=0,0,IF(BJ13&gt;tabellen!$G$9/12,tabellen!$G$9/12,BJ13)*(tabellen!$C$9+tabellen!$C$10))</f>
        <v>286.79378496499999</v>
      </c>
      <c r="AF13" s="497">
        <f>IF(F13="",0,('wgl tot'!BK13))</f>
        <v>254.03</v>
      </c>
      <c r="AG13" s="499">
        <f>IF(F13="",0,(IF('wgl tot'!BJ13&gt;tabellen!$G$12*'wgl tot'!H13/12,tabellen!$G$12*'wgl tot'!H13/12,'wgl tot'!BJ13)*tabellen!$C$12))</f>
        <v>28.716194129999998</v>
      </c>
      <c r="AH13" s="467"/>
      <c r="AI13" s="499">
        <f>IF(F13="",0,('wgl tot'!BJ13*IF(J13=1,tabellen!$C$13,IF(J13=2,tabellen!$C$14,IF(J13=3,tabellen!$C$15,tabellen!$C$16)))))</f>
        <v>215.371455975</v>
      </c>
      <c r="AJ13" s="499">
        <f>IF(F13="",0,('wgl tot'!BJ13*tabellen!$C$17))</f>
        <v>193.28207587499998</v>
      </c>
      <c r="AK13" s="679">
        <v>0</v>
      </c>
      <c r="AL13" s="467"/>
      <c r="AM13" s="479">
        <f t="shared" si="2"/>
        <v>5396.3685276116657</v>
      </c>
      <c r="AN13" s="479">
        <f t="shared" ref="AN13:AN86" si="12">AM13*12</f>
        <v>64756.422331339985</v>
      </c>
      <c r="AO13" s="467"/>
      <c r="AP13" s="503">
        <f t="shared" si="3"/>
        <v>0.61085627689900468</v>
      </c>
      <c r="AQ13" s="503">
        <f t="shared" si="4"/>
        <v>0.39349227966370126</v>
      </c>
      <c r="AR13" s="467"/>
      <c r="AS13" s="444"/>
      <c r="AT13" s="436"/>
      <c r="AU13" s="436"/>
      <c r="AV13" s="481">
        <f ca="1">YEAR('wgl tot'!$AV$9)-YEAR('wgl tot'!E13)</f>
        <v>58</v>
      </c>
      <c r="AW13" s="481">
        <f ca="1">MONTH('wgl tot'!$AV$9)-MONTH('wgl tot'!E13)</f>
        <v>8</v>
      </c>
      <c r="AX13" s="481">
        <f ca="1">DAY('wgl tot'!$AV$9)-DAY('wgl tot'!E13)</f>
        <v>20</v>
      </c>
      <c r="AY13" s="445">
        <f>IF(AND('wgl tot'!F13&gt;0,'wgl tot'!F13&lt;17),0,100)</f>
        <v>100</v>
      </c>
      <c r="AZ13" s="445" t="str">
        <f t="shared" si="5"/>
        <v>L10</v>
      </c>
      <c r="BA13" s="464">
        <v>42583</v>
      </c>
      <c r="BB13" s="482">
        <f>$BB$12</f>
        <v>0.08</v>
      </c>
      <c r="BC13" s="483">
        <f>+tabellen!$D$44</f>
        <v>6.3E-2</v>
      </c>
      <c r="BD13" s="481">
        <f>IF('wgl tot'!AY13=100,0,'wgl tot'!F13)</f>
        <v>0</v>
      </c>
      <c r="BE13" s="483" t="str">
        <f>IF(OR('wgl tot'!F13="DA",'wgl tot'!F13="DB",'wgl tot'!F13="DBuit",'wgl tot'!F13="DC",'wgl tot'!F13="DCuit",MID('wgl tot'!F13,1,5)="meerh"),"j","n")</f>
        <v>n</v>
      </c>
      <c r="BF13" s="485">
        <f>IF('wgl tot'!U13/'wgl tot'!H13&lt;tabellen!$E$6,0,(+'wgl tot'!U13-tabellen!$E$6*'wgl tot'!H13)/12*tabellen!$D$6)</f>
        <v>187.77427499999999</v>
      </c>
      <c r="BG13" s="485">
        <f>IF('wgl tot'!U13/'wgl tot'!H13&lt;tabellen!$E$7,0,(+'wgl tot'!U13-tabellen!$E$7*'wgl tot'!H13)/12*tabellen!$D$7)</f>
        <v>3.2123750000000002</v>
      </c>
      <c r="BH13" s="485">
        <f>'wgl tot'!U13/12*tabellen!$D$8</f>
        <v>0</v>
      </c>
      <c r="BI13" s="486">
        <f t="shared" si="6"/>
        <v>190.98665</v>
      </c>
      <c r="BJ13" s="487">
        <f>+(U13+V13)/12-'wgl tot'!BI13</f>
        <v>3681.5633499999999</v>
      </c>
      <c r="BK13" s="487">
        <f>ROUND(IF('wgl tot'!BJ13&gt;tabellen!$H$11,tabellen!$H$11,'wgl tot'!BJ13)*tabellen!$C$11,2)</f>
        <v>254.03</v>
      </c>
      <c r="BL13" s="487">
        <f>+'wgl tot'!BJ13+'wgl tot'!BK13</f>
        <v>3935.5933500000001</v>
      </c>
      <c r="BM13" s="488">
        <f t="shared" si="7"/>
        <v>1960</v>
      </c>
      <c r="BN13" s="488">
        <f t="shared" si="8"/>
        <v>1</v>
      </c>
      <c r="BO13" s="481">
        <f t="shared" si="9"/>
        <v>1</v>
      </c>
      <c r="BP13" s="464">
        <f t="shared" ref="BP13:BP86" si="13">DATE(BM13+61,BN13+6,BO13)</f>
        <v>44378</v>
      </c>
      <c r="BQ13" s="464">
        <f t="shared" ref="BQ13:BQ86" ca="1" si="14">NOW()</f>
        <v>43364.939215393519</v>
      </c>
      <c r="BR13" s="445"/>
      <c r="BS13" s="464"/>
      <c r="BT13" s="445"/>
      <c r="BU13" s="484"/>
      <c r="BV13" s="484"/>
      <c r="BW13" s="484"/>
      <c r="BX13" s="484"/>
      <c r="BY13" s="484"/>
      <c r="BZ13" s="484"/>
      <c r="CA13" s="436"/>
      <c r="CB13" s="436"/>
    </row>
    <row r="14" spans="1:80" s="447" customFormat="1" ht="12" customHeight="1" x14ac:dyDescent="0.2">
      <c r="A14" s="436"/>
      <c r="B14" s="437"/>
      <c r="C14" s="467"/>
      <c r="D14" s="473" t="s">
        <v>342</v>
      </c>
      <c r="E14" s="474">
        <v>21917</v>
      </c>
      <c r="F14" s="475" t="s">
        <v>314</v>
      </c>
      <c r="G14" s="475">
        <v>15</v>
      </c>
      <c r="H14" s="476">
        <v>1</v>
      </c>
      <c r="I14" s="475" t="s">
        <v>394</v>
      </c>
      <c r="J14" s="477">
        <v>1</v>
      </c>
      <c r="K14" s="497">
        <f>IF(F14="",0,(VLOOKUP('wgl tot'!F14,saltab2019,'wgl tot'!G14+1,FALSE)))</f>
        <v>3910</v>
      </c>
      <c r="L14" s="479">
        <f t="shared" si="0"/>
        <v>3910</v>
      </c>
      <c r="M14" s="467"/>
      <c r="N14" s="497">
        <f>ROUND(IF(('wgl tot'!L14+'wgl tot'!P14)*BB14&lt;'wgl tot'!H14*tabellen!$D$43,'wgl tot'!H14*tabellen!$D$43,('wgl tot'!L14+'wgl tot'!P14)*BB14),2)</f>
        <v>315.35000000000002</v>
      </c>
      <c r="O14" s="497">
        <f>ROUND(+('wgl tot'!L14+'wgl tot'!P14)*BC14,2)</f>
        <v>248.34</v>
      </c>
      <c r="P14" s="497">
        <f>ROUND(IF(I14="j",VLOOKUP(AZ14,uitlooptoeslag,2,FALSE))*IF('wgl tot'!H14&gt;1,1,'wgl tot'!H14),2)</f>
        <v>31.88</v>
      </c>
      <c r="Q14" s="497">
        <f>ROUND(IF(BE14="j",tabellen!$D$52*IF('wgl tot'!H14&gt;1,1,'wgl tot'!H14),0),2)</f>
        <v>0</v>
      </c>
      <c r="R14" s="497">
        <f>IF(AND(F14&gt;0,F14&lt;17),tabellen!$C$37*'wgl tot'!H14,0)</f>
        <v>0</v>
      </c>
      <c r="S14" s="497">
        <f>VLOOKUP(BD14,eindejaarsuitkering_OOP,2,TRUE)*'wgl tot'!H14/12</f>
        <v>0</v>
      </c>
      <c r="T14" s="497">
        <f>ROUND('wgl tot'!H14*tabellen!$D$50,2)</f>
        <v>200</v>
      </c>
      <c r="U14" s="498">
        <f t="shared" si="1"/>
        <v>54267</v>
      </c>
      <c r="V14" s="497">
        <f>('wgl tot'!L14+'wgl tot'!P14)*tabellen!$C$39*12</f>
        <v>378.42048</v>
      </c>
      <c r="W14" s="479">
        <f t="shared" si="10"/>
        <v>54645.420480000001</v>
      </c>
      <c r="X14" s="467"/>
      <c r="Y14" s="498">
        <f t="shared" si="11"/>
        <v>4522.25</v>
      </c>
      <c r="Z14" s="674">
        <f>+'wgl tot'!V14/12</f>
        <v>31.535039999999999</v>
      </c>
      <c r="AA14" s="467"/>
      <c r="AB14" s="497">
        <f>IF(F14="",0,(IF('wgl tot'!U14/'wgl tot'!H14&lt;tabellen!$E$6,0,('wgl tot'!U14-tabellen!$E$6*'wgl tot'!H14)/12)*tabellen!$C$6))</f>
        <v>546.58292500000005</v>
      </c>
      <c r="AC14" s="497">
        <f>IF(F14="",0,(IF('wgl tot'!U14/'wgl tot'!H14&lt;tabellen!$E$7,0,(+'wgl tot'!U14-tabellen!$E$7*'wgl tot'!H14)/12)*tabellen!$C$7))</f>
        <v>9.863291666666667</v>
      </c>
      <c r="AD14" s="497">
        <f>'wgl tot'!U14/12*tabellen!$C$8</f>
        <v>117.57849999999999</v>
      </c>
      <c r="AE14" s="497">
        <f>IF(H14=0,0,IF(BJ14&gt;tabellen!$G$9/12,tabellen!$G$9/12,BJ14)*(tabellen!$C$9+tabellen!$C$10))</f>
        <v>336.16250021099995</v>
      </c>
      <c r="AF14" s="497">
        <f>IF(F14="",0,('wgl tot'!BK14))</f>
        <v>297.76</v>
      </c>
      <c r="AG14" s="499">
        <f>IF(F14="",0,(IF('wgl tot'!BJ14&gt;tabellen!$G$12*'wgl tot'!H14/12,tabellen!$G$12*'wgl tot'!H14/12,'wgl tot'!BJ14)*tabellen!$C$12))</f>
        <v>33.659403101999992</v>
      </c>
      <c r="AH14" s="467"/>
      <c r="AI14" s="499">
        <f>IF(F14="",0,('wgl tot'!BJ14*IF(J14=1,tabellen!$C$13,IF(J14=2,tabellen!$C$14,IF(J14=3,tabellen!$C$15,tabellen!$C$16)))))</f>
        <v>252.44552326499999</v>
      </c>
      <c r="AJ14" s="499">
        <f>IF(F14="",0,('wgl tot'!BJ14*tabellen!$C$17))</f>
        <v>226.55367472499998</v>
      </c>
      <c r="AK14" s="679">
        <v>0</v>
      </c>
      <c r="AL14" s="467"/>
      <c r="AM14" s="479">
        <f t="shared" si="2"/>
        <v>6374.3908579696654</v>
      </c>
      <c r="AN14" s="479">
        <f t="shared" si="12"/>
        <v>76492.690295635985</v>
      </c>
      <c r="AO14" s="467"/>
      <c r="AP14" s="503">
        <f t="shared" si="3"/>
        <v>0.63027899180809865</v>
      </c>
      <c r="AQ14" s="503">
        <f t="shared" si="4"/>
        <v>0.39980056194520452</v>
      </c>
      <c r="AR14" s="467"/>
      <c r="AS14" s="444"/>
      <c r="AT14" s="436"/>
      <c r="AU14" s="436"/>
      <c r="AV14" s="481">
        <f ca="1">YEAR('wgl tot'!$AV$9)-YEAR('wgl tot'!E14)</f>
        <v>58</v>
      </c>
      <c r="AW14" s="481">
        <f ca="1">MONTH('wgl tot'!$AV$9)-MONTH('wgl tot'!E14)</f>
        <v>8</v>
      </c>
      <c r="AX14" s="481">
        <f ca="1">DAY('wgl tot'!$AV$9)-DAY('wgl tot'!E14)</f>
        <v>19</v>
      </c>
      <c r="AY14" s="445">
        <f>IF(AND('wgl tot'!F14&gt;0,'wgl tot'!F14&lt;17),0,100)</f>
        <v>100</v>
      </c>
      <c r="AZ14" s="445" t="str">
        <f t="shared" si="5"/>
        <v>L10</v>
      </c>
      <c r="BA14" s="464">
        <v>42583</v>
      </c>
      <c r="BB14" s="482">
        <f t="shared" ref="BB14:BB86" si="15">$BB$12</f>
        <v>0.08</v>
      </c>
      <c r="BC14" s="483">
        <f>+tabellen!$D$44</f>
        <v>6.3E-2</v>
      </c>
      <c r="BD14" s="481">
        <f>IF('wgl tot'!AY14=100,0,'wgl tot'!F14)</f>
        <v>0</v>
      </c>
      <c r="BE14" s="483" t="str">
        <f>IF(OR('wgl tot'!F14="DA",'wgl tot'!F14="DB",'wgl tot'!F14="DBuit",'wgl tot'!F14="DC",'wgl tot'!F14="DCuit",MID('wgl tot'!F14,1,5)="meerh"),"j","n")</f>
        <v>n</v>
      </c>
      <c r="BF14" s="485">
        <f>IF('wgl tot'!U14/'wgl tot'!H14&lt;tabellen!$E$6,0,(+'wgl tot'!U14-tabellen!$E$6*'wgl tot'!H14)/12*tabellen!$D$6)</f>
        <v>234.24982499999999</v>
      </c>
      <c r="BG14" s="485">
        <f>IF('wgl tot'!U14/'wgl tot'!H14&lt;tabellen!$E$7,0,(+'wgl tot'!U14-tabellen!$E$7*'wgl tot'!H14)/12*tabellen!$D$7)</f>
        <v>4.227125</v>
      </c>
      <c r="BH14" s="485">
        <f>'wgl tot'!U14/12*tabellen!$D$8</f>
        <v>0</v>
      </c>
      <c r="BI14" s="486">
        <f>SUM(BF14:BH14)</f>
        <v>238.47694999999999</v>
      </c>
      <c r="BJ14" s="487">
        <f>+(U14+V14)/12-'wgl tot'!BI14</f>
        <v>4315.3080899999995</v>
      </c>
      <c r="BK14" s="487">
        <f>ROUND(IF('wgl tot'!BJ14&gt;tabellen!$H$11,tabellen!$H$11,'wgl tot'!BJ14)*tabellen!$C$11,2)</f>
        <v>297.76</v>
      </c>
      <c r="BL14" s="487">
        <f>+'wgl tot'!BJ14+'wgl tot'!BK14</f>
        <v>4613.0680899999998</v>
      </c>
      <c r="BM14" s="488">
        <f t="shared" si="7"/>
        <v>1960</v>
      </c>
      <c r="BN14" s="488">
        <f t="shared" si="8"/>
        <v>1</v>
      </c>
      <c r="BO14" s="481">
        <f t="shared" si="9"/>
        <v>2</v>
      </c>
      <c r="BP14" s="464">
        <f t="shared" si="13"/>
        <v>44379</v>
      </c>
      <c r="BQ14" s="464">
        <f t="shared" ca="1" si="14"/>
        <v>43364.939215393519</v>
      </c>
      <c r="BR14" s="445"/>
      <c r="BS14" s="464"/>
      <c r="BT14" s="445"/>
      <c r="BU14" s="484"/>
      <c r="BV14" s="484"/>
      <c r="BW14" s="484"/>
      <c r="BX14" s="484"/>
      <c r="BY14" s="484"/>
      <c r="BZ14" s="484"/>
      <c r="CA14" s="436"/>
      <c r="CB14" s="436"/>
    </row>
    <row r="15" spans="1:80" s="447" customFormat="1" ht="12" customHeight="1" x14ac:dyDescent="0.2">
      <c r="A15" s="436"/>
      <c r="B15" s="437"/>
      <c r="C15" s="467"/>
      <c r="D15" s="473" t="s">
        <v>342</v>
      </c>
      <c r="E15" s="474">
        <v>21918</v>
      </c>
      <c r="F15" s="475" t="s">
        <v>315</v>
      </c>
      <c r="G15" s="475">
        <v>1</v>
      </c>
      <c r="H15" s="476">
        <v>1</v>
      </c>
      <c r="I15" s="475" t="s">
        <v>381</v>
      </c>
      <c r="J15" s="477">
        <v>1</v>
      </c>
      <c r="K15" s="497">
        <f>IF(F15="",0,(VLOOKUP('wgl tot'!F15,saltab2019,'wgl tot'!G15+1,FALSE)))</f>
        <v>2639</v>
      </c>
      <c r="L15" s="479">
        <f t="shared" si="0"/>
        <v>2639</v>
      </c>
      <c r="M15" s="467"/>
      <c r="N15" s="497">
        <f>ROUND(IF(('wgl tot'!L15+'wgl tot'!P15)*BB15&lt;'wgl tot'!H15*tabellen!$D$43,'wgl tot'!H15*tabellen!$D$43,('wgl tot'!L15+'wgl tot'!P15)*BB15),2)</f>
        <v>211.12</v>
      </c>
      <c r="O15" s="497">
        <f>ROUND(+('wgl tot'!L15+'wgl tot'!P15)*BC15,2)</f>
        <v>166.26</v>
      </c>
      <c r="P15" s="497">
        <f>ROUND(IF(I15="j",VLOOKUP(AZ15,uitlooptoeslag,2,FALSE))*IF('wgl tot'!H15&gt;1,1,'wgl tot'!H15),2)</f>
        <v>0</v>
      </c>
      <c r="Q15" s="497">
        <f>ROUND(IF(BE15="j",tabellen!$D$52*IF('wgl tot'!H15&gt;1,1,'wgl tot'!H15),0),2)</f>
        <v>0</v>
      </c>
      <c r="R15" s="497">
        <f>IF(AND(F15&gt;0,F15&lt;17),tabellen!$C$37*'wgl tot'!H15,0)</f>
        <v>0</v>
      </c>
      <c r="S15" s="497">
        <f>VLOOKUP(BD15,eindejaarsuitkering_OOP,2,TRUE)*'wgl tot'!H15/12</f>
        <v>0</v>
      </c>
      <c r="T15" s="497">
        <f>ROUND('wgl tot'!H15*tabellen!$D$50,2)</f>
        <v>200</v>
      </c>
      <c r="U15" s="498">
        <f t="shared" si="1"/>
        <v>36397</v>
      </c>
      <c r="V15" s="497">
        <f>('wgl tot'!L15+'wgl tot'!P15)*tabellen!$C$39*12</f>
        <v>253.34400000000002</v>
      </c>
      <c r="W15" s="479">
        <f t="shared" si="10"/>
        <v>36650.343999999997</v>
      </c>
      <c r="X15" s="467"/>
      <c r="Y15" s="498">
        <f t="shared" si="11"/>
        <v>3033.0833333333335</v>
      </c>
      <c r="Z15" s="674">
        <f>+'wgl tot'!V15/12</f>
        <v>21.112000000000002</v>
      </c>
      <c r="AA15" s="467"/>
      <c r="AB15" s="497">
        <f>IF(F15="",0,(IF('wgl tot'!U15/'wgl tot'!H15&lt;tabellen!$E$6,0,('wgl tot'!U15-tabellen!$E$6*'wgl tot'!H15)/12)*tabellen!$C$6))</f>
        <v>307.86950833333333</v>
      </c>
      <c r="AC15" s="497">
        <f>IF(F15="",0,(IF('wgl tot'!U15/'wgl tot'!H15&lt;tabellen!$E$7,0,(+'wgl tot'!U15-tabellen!$E$7*'wgl tot'!H15)/12)*tabellen!$C$7))</f>
        <v>4.6512083333333338</v>
      </c>
      <c r="AD15" s="497">
        <f>'wgl tot'!U15/12*tabellen!$C$8</f>
        <v>78.860166666666672</v>
      </c>
      <c r="AE15" s="497">
        <f>IF(H15=0,0,IF(BJ15&gt;tabellen!$G$9/12,tabellen!$G$9/12,BJ15)*(tabellen!$C$9+tabellen!$C$10))</f>
        <v>227.48808911166665</v>
      </c>
      <c r="AF15" s="497">
        <f>IF(F15="",0,('wgl tot'!BK15))</f>
        <v>201.5</v>
      </c>
      <c r="AG15" s="499">
        <f>IF(F15="",0,(IF('wgl tot'!BJ15&gt;tabellen!$G$12*'wgl tot'!H15/12,tabellen!$G$12*'wgl tot'!H15/12,'wgl tot'!BJ15)*tabellen!$C$12))</f>
        <v>22.778011489999997</v>
      </c>
      <c r="AH15" s="467"/>
      <c r="AI15" s="499">
        <f>IF(F15="",0,('wgl tot'!BJ15*IF(J15=1,tabellen!$C$13,IF(J15=2,tabellen!$C$14,IF(J15=3,tabellen!$C$15,tabellen!$C$16)))))</f>
        <v>170.83508617500001</v>
      </c>
      <c r="AJ15" s="499">
        <f>IF(F15="",0,('wgl tot'!BJ15*tabellen!$C$17))</f>
        <v>153.31353887499998</v>
      </c>
      <c r="AK15" s="679">
        <v>0</v>
      </c>
      <c r="AL15" s="467"/>
      <c r="AM15" s="479">
        <f t="shared" si="2"/>
        <v>4221.4909423183335</v>
      </c>
      <c r="AN15" s="479">
        <f t="shared" si="12"/>
        <v>50657.891307819998</v>
      </c>
      <c r="AO15" s="467"/>
      <c r="AP15" s="503">
        <f t="shared" si="3"/>
        <v>0.5996555294878112</v>
      </c>
      <c r="AQ15" s="503">
        <f t="shared" si="4"/>
        <v>0.38219415642647192</v>
      </c>
      <c r="AR15" s="467"/>
      <c r="AS15" s="444"/>
      <c r="AT15" s="436"/>
      <c r="AU15" s="436"/>
      <c r="AV15" s="481">
        <f ca="1">YEAR('wgl tot'!$AV$9)-YEAR('wgl tot'!E15)</f>
        <v>58</v>
      </c>
      <c r="AW15" s="481">
        <f ca="1">MONTH('wgl tot'!$AV$9)-MONTH('wgl tot'!E15)</f>
        <v>8</v>
      </c>
      <c r="AX15" s="481">
        <f ca="1">DAY('wgl tot'!$AV$9)-DAY('wgl tot'!E15)</f>
        <v>18</v>
      </c>
      <c r="AY15" s="445">
        <f>IF(AND('wgl tot'!F15&gt;0,'wgl tot'!F15&lt;17),0,100)</f>
        <v>100</v>
      </c>
      <c r="AZ15" s="445" t="str">
        <f t="shared" si="5"/>
        <v>L11</v>
      </c>
      <c r="BA15" s="464">
        <v>42583</v>
      </c>
      <c r="BB15" s="482">
        <f t="shared" si="15"/>
        <v>0.08</v>
      </c>
      <c r="BC15" s="483">
        <f>+tabellen!$D$44</f>
        <v>6.3E-2</v>
      </c>
      <c r="BD15" s="481">
        <f>IF('wgl tot'!AY15=100,0,'wgl tot'!F15)</f>
        <v>0</v>
      </c>
      <c r="BE15" s="483" t="str">
        <f>IF(OR('wgl tot'!F15="DA",'wgl tot'!F15="DB",'wgl tot'!F15="DBuit",'wgl tot'!F15="DC",'wgl tot'!F15="DCuit",MID('wgl tot'!F15,1,5)="meerh"),"j","n")</f>
        <v>n</v>
      </c>
      <c r="BF15" s="485">
        <f>IF('wgl tot'!U15/'wgl tot'!H15&lt;tabellen!$E$6,0,(+'wgl tot'!U15-tabellen!$E$6*'wgl tot'!H15)/12*tabellen!$D$6)</f>
        <v>131.944075</v>
      </c>
      <c r="BG15" s="485">
        <f>IF('wgl tot'!U15/'wgl tot'!H15&lt;tabellen!$E$7,0,(+'wgl tot'!U15-tabellen!$E$7*'wgl tot'!H15)/12*tabellen!$D$7)</f>
        <v>1.9933750000000001</v>
      </c>
      <c r="BH15" s="485">
        <f>'wgl tot'!U15/12*tabellen!$D$8</f>
        <v>0</v>
      </c>
      <c r="BI15" s="486">
        <f t="shared" si="6"/>
        <v>133.93744999999998</v>
      </c>
      <c r="BJ15" s="487">
        <f>+(U15+V15)/12-'wgl tot'!BI15</f>
        <v>2920.2578833333332</v>
      </c>
      <c r="BK15" s="487">
        <f>ROUND(IF('wgl tot'!BJ15&gt;tabellen!$H$11,tabellen!$H$11,'wgl tot'!BJ15)*tabellen!$C$11,2)</f>
        <v>201.5</v>
      </c>
      <c r="BL15" s="487">
        <f>+'wgl tot'!BJ15+'wgl tot'!BK15</f>
        <v>3121.7578833333332</v>
      </c>
      <c r="BM15" s="488">
        <f t="shared" si="7"/>
        <v>1960</v>
      </c>
      <c r="BN15" s="488">
        <f t="shared" si="8"/>
        <v>1</v>
      </c>
      <c r="BO15" s="481">
        <f t="shared" si="9"/>
        <v>3</v>
      </c>
      <c r="BP15" s="464">
        <f t="shared" si="13"/>
        <v>44380</v>
      </c>
      <c r="BQ15" s="464">
        <f t="shared" ca="1" si="14"/>
        <v>43364.939215393519</v>
      </c>
      <c r="BR15" s="445"/>
      <c r="BS15" s="464"/>
      <c r="BT15" s="445"/>
      <c r="BU15" s="484"/>
      <c r="BV15" s="484"/>
      <c r="BW15" s="484"/>
      <c r="BX15" s="484"/>
      <c r="BY15" s="484"/>
      <c r="BZ15" s="484"/>
      <c r="CA15" s="436"/>
      <c r="CB15" s="436"/>
    </row>
    <row r="16" spans="1:80" s="447" customFormat="1" ht="12" customHeight="1" x14ac:dyDescent="0.2">
      <c r="A16" s="436"/>
      <c r="B16" s="437"/>
      <c r="C16" s="467"/>
      <c r="D16" s="473" t="s">
        <v>342</v>
      </c>
      <c r="E16" s="474">
        <v>21919</v>
      </c>
      <c r="F16" s="475" t="s">
        <v>315</v>
      </c>
      <c r="G16" s="475">
        <v>10</v>
      </c>
      <c r="H16" s="476">
        <v>1</v>
      </c>
      <c r="I16" s="475" t="s">
        <v>381</v>
      </c>
      <c r="J16" s="477">
        <v>1</v>
      </c>
      <c r="K16" s="497">
        <f>IF(F16="",0,(VLOOKUP('wgl tot'!F16,saltab2019,'wgl tot'!G16+1,FALSE)))</f>
        <v>3560</v>
      </c>
      <c r="L16" s="479">
        <f t="shared" si="0"/>
        <v>3560</v>
      </c>
      <c r="M16" s="467"/>
      <c r="N16" s="497">
        <f>ROUND(IF(('wgl tot'!L16+'wgl tot'!P16)*BB16&lt;'wgl tot'!H16*tabellen!$D$43,'wgl tot'!H16*tabellen!$D$43,('wgl tot'!L16+'wgl tot'!P16)*BB16),2)</f>
        <v>284.8</v>
      </c>
      <c r="O16" s="497">
        <f>ROUND(+('wgl tot'!L16+'wgl tot'!P16)*BC16,2)</f>
        <v>224.28</v>
      </c>
      <c r="P16" s="497">
        <f>ROUND(IF(I16="j",VLOOKUP(AZ16,uitlooptoeslag,2,FALSE))*IF('wgl tot'!H16&gt;1,1,'wgl tot'!H16),2)</f>
        <v>0</v>
      </c>
      <c r="Q16" s="497">
        <f>ROUND(IF(BE16="j",tabellen!$D$52*IF('wgl tot'!H16&gt;1,1,'wgl tot'!H16),0),2)</f>
        <v>0</v>
      </c>
      <c r="R16" s="497">
        <f>IF(AND(F16&gt;0,F16&lt;17),tabellen!$C$37*'wgl tot'!H16,0)</f>
        <v>0</v>
      </c>
      <c r="S16" s="497">
        <f>VLOOKUP(BD16,eindejaarsuitkering_OOP,2,TRUE)*'wgl tot'!H16/12</f>
        <v>0</v>
      </c>
      <c r="T16" s="497">
        <f>ROUND('wgl tot'!H16*tabellen!$D$50,2)</f>
        <v>200</v>
      </c>
      <c r="U16" s="498">
        <f t="shared" si="1"/>
        <v>49029</v>
      </c>
      <c r="V16" s="497">
        <f>('wgl tot'!L16+'wgl tot'!P16)*tabellen!$C$39*12</f>
        <v>341.76</v>
      </c>
      <c r="W16" s="479">
        <f t="shared" si="10"/>
        <v>49370.76</v>
      </c>
      <c r="X16" s="467"/>
      <c r="Y16" s="498">
        <f t="shared" si="11"/>
        <v>4085.75</v>
      </c>
      <c r="Z16" s="674">
        <f>+'wgl tot'!V16/12</f>
        <v>28.48</v>
      </c>
      <c r="AA16" s="467"/>
      <c r="AB16" s="497">
        <f>IF(F16="",0,(IF('wgl tot'!U16/'wgl tot'!H16&lt;tabellen!$E$6,0,('wgl tot'!U16-tabellen!$E$6*'wgl tot'!H16)/12)*tabellen!$C$6))</f>
        <v>476.61197499999997</v>
      </c>
      <c r="AC16" s="497">
        <f>IF(F16="",0,(IF('wgl tot'!U16/'wgl tot'!H16&lt;tabellen!$E$7,0,(+'wgl tot'!U16-tabellen!$E$7*'wgl tot'!H16)/12)*tabellen!$C$7))</f>
        <v>8.3355416666666677</v>
      </c>
      <c r="AD16" s="497">
        <f>'wgl tot'!U16/12*tabellen!$C$8</f>
        <v>106.2295</v>
      </c>
      <c r="AE16" s="497">
        <f>IF(H16=0,0,IF(BJ16&gt;tabellen!$G$9/12,tabellen!$G$9/12,BJ16)*(tabellen!$C$9+tabellen!$C$10))</f>
        <v>304.30819776500005</v>
      </c>
      <c r="AF16" s="497">
        <f>IF(F16="",0,('wgl tot'!BK16))</f>
        <v>269.54000000000002</v>
      </c>
      <c r="AG16" s="499">
        <f>IF(F16="",0,(IF('wgl tot'!BJ16&gt;tabellen!$G$12*'wgl tot'!H16/12,tabellen!$G$12*'wgl tot'!H16/12,'wgl tot'!BJ16)*tabellen!$C$12))</f>
        <v>30.469883730000003</v>
      </c>
      <c r="AH16" s="467"/>
      <c r="AI16" s="499">
        <f>IF(F16="",0,('wgl tot'!BJ16*IF(J16=1,tabellen!$C$13,IF(J16=2,tabellen!$C$14,IF(J16=3,tabellen!$C$15,tabellen!$C$16)))))</f>
        <v>228.52412797500006</v>
      </c>
      <c r="AJ16" s="499">
        <f>IF(F16="",0,('wgl tot'!BJ16*tabellen!$C$17))</f>
        <v>205.08575587500002</v>
      </c>
      <c r="AK16" s="679">
        <v>0</v>
      </c>
      <c r="AL16" s="467"/>
      <c r="AM16" s="479">
        <f t="shared" si="2"/>
        <v>5743.3349820116664</v>
      </c>
      <c r="AN16" s="479">
        <f t="shared" si="12"/>
        <v>68920.019784139993</v>
      </c>
      <c r="AO16" s="467"/>
      <c r="AP16" s="503">
        <f t="shared" si="3"/>
        <v>0.61329634326170401</v>
      </c>
      <c r="AQ16" s="503">
        <f t="shared" si="4"/>
        <v>0.3959683785329613</v>
      </c>
      <c r="AR16" s="467"/>
      <c r="AS16" s="444"/>
      <c r="AT16" s="436"/>
      <c r="AU16" s="436"/>
      <c r="AV16" s="481">
        <f ca="1">YEAR('wgl tot'!$AV$9)-YEAR('wgl tot'!E16)</f>
        <v>58</v>
      </c>
      <c r="AW16" s="481">
        <f ca="1">MONTH('wgl tot'!$AV$9)-MONTH('wgl tot'!E16)</f>
        <v>8</v>
      </c>
      <c r="AX16" s="481">
        <f ca="1">DAY('wgl tot'!$AV$9)-DAY('wgl tot'!E16)</f>
        <v>17</v>
      </c>
      <c r="AY16" s="445">
        <f>IF(AND('wgl tot'!F16&gt;0,'wgl tot'!F16&lt;17),0,100)</f>
        <v>100</v>
      </c>
      <c r="AZ16" s="445" t="str">
        <f t="shared" si="5"/>
        <v>L11</v>
      </c>
      <c r="BA16" s="464">
        <v>42583</v>
      </c>
      <c r="BB16" s="482">
        <f t="shared" si="15"/>
        <v>0.08</v>
      </c>
      <c r="BC16" s="483">
        <f>+tabellen!$D$44</f>
        <v>6.3E-2</v>
      </c>
      <c r="BD16" s="481">
        <f>IF('wgl tot'!AY16=100,0,'wgl tot'!F16)</f>
        <v>0</v>
      </c>
      <c r="BE16" s="483" t="str">
        <f>IF(OR('wgl tot'!F16="DA",'wgl tot'!F16="DB",'wgl tot'!F16="DBuit",'wgl tot'!F16="DC",'wgl tot'!F16="DCuit",MID('wgl tot'!F16,1,5)="meerh"),"j","n")</f>
        <v>n</v>
      </c>
      <c r="BF16" s="485">
        <f>IF('wgl tot'!U16/'wgl tot'!H16&lt;tabellen!$E$6,0,(+'wgl tot'!U16-tabellen!$E$6*'wgl tot'!H16)/12*tabellen!$D$6)</f>
        <v>204.26227499999999</v>
      </c>
      <c r="BG16" s="485">
        <f>IF('wgl tot'!U16/'wgl tot'!H16&lt;tabellen!$E$7,0,(+'wgl tot'!U16-tabellen!$E$7*'wgl tot'!H16)/12*tabellen!$D$7)</f>
        <v>3.5723750000000005</v>
      </c>
      <c r="BH16" s="485">
        <f>'wgl tot'!U16/12*tabellen!$D$8</f>
        <v>0</v>
      </c>
      <c r="BI16" s="486">
        <f t="shared" si="6"/>
        <v>207.83464999999998</v>
      </c>
      <c r="BJ16" s="487">
        <f>+(U16+V16)/12-'wgl tot'!BI16</f>
        <v>3906.3953500000007</v>
      </c>
      <c r="BK16" s="487">
        <f>ROUND(IF('wgl tot'!BJ16&gt;tabellen!$H$11,tabellen!$H$11,'wgl tot'!BJ16)*tabellen!$C$11,2)</f>
        <v>269.54000000000002</v>
      </c>
      <c r="BL16" s="487">
        <f>+'wgl tot'!BJ16+'wgl tot'!BK16</f>
        <v>4175.9353500000007</v>
      </c>
      <c r="BM16" s="488">
        <f t="shared" si="7"/>
        <v>1960</v>
      </c>
      <c r="BN16" s="488">
        <f t="shared" si="8"/>
        <v>1</v>
      </c>
      <c r="BO16" s="481">
        <f t="shared" si="9"/>
        <v>4</v>
      </c>
      <c r="BP16" s="464">
        <f t="shared" si="13"/>
        <v>44381</v>
      </c>
      <c r="BQ16" s="464">
        <f t="shared" ca="1" si="14"/>
        <v>43364.939215393519</v>
      </c>
      <c r="BR16" s="445"/>
      <c r="BS16" s="464"/>
      <c r="BT16" s="445"/>
      <c r="BU16" s="484"/>
      <c r="BV16" s="484"/>
      <c r="BW16" s="484"/>
      <c r="BX16" s="484"/>
      <c r="BY16" s="484"/>
      <c r="BZ16" s="484"/>
      <c r="CA16" s="436"/>
      <c r="CB16" s="436"/>
    </row>
    <row r="17" spans="1:80" s="447" customFormat="1" ht="12" customHeight="1" x14ac:dyDescent="0.2">
      <c r="A17" s="436"/>
      <c r="B17" s="437"/>
      <c r="C17" s="467"/>
      <c r="D17" s="473" t="s">
        <v>342</v>
      </c>
      <c r="E17" s="474">
        <v>21920</v>
      </c>
      <c r="F17" s="475" t="s">
        <v>315</v>
      </c>
      <c r="G17" s="475">
        <v>15</v>
      </c>
      <c r="H17" s="476">
        <v>1</v>
      </c>
      <c r="I17" s="475" t="s">
        <v>394</v>
      </c>
      <c r="J17" s="477">
        <v>1</v>
      </c>
      <c r="K17" s="497">
        <f>IF(F17="",0,(VLOOKUP('wgl tot'!F17,saltab2019,'wgl tot'!G17+1,FALSE)))</f>
        <v>4228</v>
      </c>
      <c r="L17" s="479">
        <f t="shared" si="0"/>
        <v>4228</v>
      </c>
      <c r="M17" s="467"/>
      <c r="N17" s="497">
        <f>ROUND(IF(('wgl tot'!L17+'wgl tot'!P17)*BB17&lt;'wgl tot'!H17*tabellen!$D$43,'wgl tot'!H17*tabellen!$D$43,('wgl tot'!L17+'wgl tot'!P17)*BB17),2)</f>
        <v>340.48</v>
      </c>
      <c r="O17" s="497">
        <f>ROUND(+('wgl tot'!L17+'wgl tot'!P17)*BC17,2)</f>
        <v>268.13</v>
      </c>
      <c r="P17" s="497">
        <f>ROUND(IF(I17="j",VLOOKUP(AZ17,uitlooptoeslag,2,FALSE))*IF('wgl tot'!H17&gt;1,1,'wgl tot'!H17),2)</f>
        <v>27.96</v>
      </c>
      <c r="Q17" s="497">
        <f>ROUND(IF(BE17="j",tabellen!$D$52*IF('wgl tot'!H17&gt;1,1,'wgl tot'!H17),0),2)</f>
        <v>0</v>
      </c>
      <c r="R17" s="497">
        <f>IF(AND(F17&gt;0,F17&lt;17),tabellen!$C$37*'wgl tot'!H17,0)</f>
        <v>0</v>
      </c>
      <c r="S17" s="497">
        <f>VLOOKUP(BD17,eindejaarsuitkering_OOP,2,TRUE)*'wgl tot'!H17/12</f>
        <v>0</v>
      </c>
      <c r="T17" s="497">
        <f>ROUND('wgl tot'!H17*tabellen!$D$50,2)</f>
        <v>200</v>
      </c>
      <c r="U17" s="498">
        <f t="shared" si="1"/>
        <v>58575</v>
      </c>
      <c r="V17" s="497">
        <f>('wgl tot'!L17+'wgl tot'!P17)*tabellen!$C$39*12</f>
        <v>408.57216</v>
      </c>
      <c r="W17" s="479">
        <f t="shared" si="10"/>
        <v>58983.572160000003</v>
      </c>
      <c r="X17" s="467"/>
      <c r="Y17" s="498">
        <f t="shared" si="11"/>
        <v>4881.25</v>
      </c>
      <c r="Z17" s="674">
        <f>+'wgl tot'!V17/12</f>
        <v>34.04768</v>
      </c>
      <c r="AA17" s="467"/>
      <c r="AB17" s="497">
        <f>IF(F17="",0,(IF('wgl tot'!U17/'wgl tot'!H17&lt;tabellen!$E$6,0,('wgl tot'!U17-tabellen!$E$6*'wgl tot'!H17)/12)*tabellen!$C$6))</f>
        <v>604.13062500000001</v>
      </c>
      <c r="AC17" s="497">
        <f>IF(F17="",0,(IF('wgl tot'!U17/'wgl tot'!H17&lt;tabellen!$E$7,0,(+'wgl tot'!U17-tabellen!$E$7*'wgl tot'!H17)/12)*tabellen!$C$7))</f>
        <v>11.119791666666668</v>
      </c>
      <c r="AD17" s="497">
        <f>'wgl tot'!U17/12*tabellen!$C$8</f>
        <v>126.91249999999999</v>
      </c>
      <c r="AE17" s="497">
        <f>IF(H17=0,0,IF(BJ17&gt;tabellen!$G$9/12,tabellen!$G$9/12,BJ17)*(tabellen!$C$9+tabellen!$C$10))</f>
        <v>354.71115833333334</v>
      </c>
      <c r="AF17" s="497">
        <f>IF(F17="",0,('wgl tot'!BK17))</f>
        <v>314.02999999999997</v>
      </c>
      <c r="AG17" s="499">
        <f>IF(F17="",0,(IF('wgl tot'!BJ17&gt;tabellen!$G$12*'wgl tot'!H17/12,tabellen!$G$12*'wgl tot'!H17/12,'wgl tot'!BJ17)*tabellen!$C$12))</f>
        <v>35.516649999999998</v>
      </c>
      <c r="AH17" s="467"/>
      <c r="AI17" s="499">
        <f>IF(F17="",0,('wgl tot'!BJ17*IF(J17=1,tabellen!$C$13,IF(J17=2,tabellen!$C$14,IF(J17=3,tabellen!$C$15,tabellen!$C$16)))))</f>
        <v>272.11970740500004</v>
      </c>
      <c r="AJ17" s="499">
        <f>IF(F17="",0,('wgl tot'!BJ17*tabellen!$C$17))</f>
        <v>244.20999382500003</v>
      </c>
      <c r="AK17" s="679">
        <v>0</v>
      </c>
      <c r="AL17" s="467"/>
      <c r="AM17" s="479">
        <f t="shared" si="2"/>
        <v>6878.0481062299996</v>
      </c>
      <c r="AN17" s="479">
        <f t="shared" si="12"/>
        <v>82536.577274759999</v>
      </c>
      <c r="AO17" s="467"/>
      <c r="AP17" s="503">
        <f t="shared" si="3"/>
        <v>0.62678526637417198</v>
      </c>
      <c r="AQ17" s="503">
        <f t="shared" si="4"/>
        <v>0.39931466088336665</v>
      </c>
      <c r="AR17" s="467"/>
      <c r="AS17" s="444"/>
      <c r="AT17" s="436"/>
      <c r="AU17" s="436"/>
      <c r="AV17" s="481">
        <f ca="1">YEAR('wgl tot'!$AV$9)-YEAR('wgl tot'!E17)</f>
        <v>58</v>
      </c>
      <c r="AW17" s="481">
        <f ca="1">MONTH('wgl tot'!$AV$9)-MONTH('wgl tot'!E17)</f>
        <v>8</v>
      </c>
      <c r="AX17" s="481">
        <f ca="1">DAY('wgl tot'!$AV$9)-DAY('wgl tot'!E17)</f>
        <v>16</v>
      </c>
      <c r="AY17" s="445">
        <f>IF(AND('wgl tot'!F17&gt;0,'wgl tot'!F17&lt;17),0,100)</f>
        <v>100</v>
      </c>
      <c r="AZ17" s="445" t="str">
        <f t="shared" si="5"/>
        <v>L11</v>
      </c>
      <c r="BA17" s="464">
        <v>42583</v>
      </c>
      <c r="BB17" s="482">
        <f t="shared" si="15"/>
        <v>0.08</v>
      </c>
      <c r="BC17" s="483">
        <f>+tabellen!$D$44</f>
        <v>6.3E-2</v>
      </c>
      <c r="BD17" s="481">
        <f>IF('wgl tot'!AY17=100,0,'wgl tot'!F17)</f>
        <v>0</v>
      </c>
      <c r="BE17" s="483" t="str">
        <f>IF(OR('wgl tot'!F17="DA",'wgl tot'!F17="DB",'wgl tot'!F17="DBuit",'wgl tot'!F17="DC",'wgl tot'!F17="DCuit",MID('wgl tot'!F17,1,5)="meerh"),"j","n")</f>
        <v>n</v>
      </c>
      <c r="BF17" s="485">
        <f>IF('wgl tot'!U17/'wgl tot'!H17&lt;tabellen!$E$6,0,(+'wgl tot'!U17-tabellen!$E$6*'wgl tot'!H17)/12*tabellen!$D$6)</f>
        <v>258.91312499999998</v>
      </c>
      <c r="BG17" s="485">
        <f>IF('wgl tot'!U17/'wgl tot'!H17&lt;tabellen!$E$7,0,(+'wgl tot'!U17-tabellen!$E$7*'wgl tot'!H17)/12*tabellen!$D$7)</f>
        <v>4.765625</v>
      </c>
      <c r="BH17" s="485">
        <f>'wgl tot'!U17/12*tabellen!$D$8</f>
        <v>0</v>
      </c>
      <c r="BI17" s="486">
        <f t="shared" si="6"/>
        <v>263.67874999999998</v>
      </c>
      <c r="BJ17" s="487">
        <f>+(U17+V17)/12-'wgl tot'!BI17</f>
        <v>4651.6189300000005</v>
      </c>
      <c r="BK17" s="487">
        <f>ROUND(IF('wgl tot'!BJ17&gt;tabellen!$H$11,tabellen!$H$11,'wgl tot'!BJ17)*tabellen!$C$11,2)</f>
        <v>314.02999999999997</v>
      </c>
      <c r="BL17" s="487">
        <f>+'wgl tot'!BJ17+'wgl tot'!BK17</f>
        <v>4965.6489300000003</v>
      </c>
      <c r="BM17" s="488">
        <f t="shared" si="7"/>
        <v>1960</v>
      </c>
      <c r="BN17" s="488">
        <f t="shared" si="8"/>
        <v>1</v>
      </c>
      <c r="BO17" s="481">
        <f t="shared" si="9"/>
        <v>5</v>
      </c>
      <c r="BP17" s="464">
        <f t="shared" si="13"/>
        <v>44382</v>
      </c>
      <c r="BQ17" s="464">
        <f t="shared" ca="1" si="14"/>
        <v>43364.939215393519</v>
      </c>
      <c r="BR17" s="445"/>
      <c r="BS17" s="464"/>
      <c r="BT17" s="445"/>
      <c r="BU17" s="484"/>
      <c r="BV17" s="484"/>
      <c r="BW17" s="484"/>
      <c r="BX17" s="484"/>
      <c r="BY17" s="484"/>
      <c r="BZ17" s="484"/>
      <c r="CA17" s="436"/>
      <c r="CB17" s="436"/>
    </row>
    <row r="18" spans="1:80" s="447" customFormat="1" ht="12" customHeight="1" x14ac:dyDescent="0.2">
      <c r="A18" s="436"/>
      <c r="B18" s="437"/>
      <c r="C18" s="467"/>
      <c r="D18" s="473" t="s">
        <v>342</v>
      </c>
      <c r="E18" s="474">
        <v>21921</v>
      </c>
      <c r="F18" s="475" t="s">
        <v>316</v>
      </c>
      <c r="G18" s="475">
        <v>1</v>
      </c>
      <c r="H18" s="476">
        <v>1</v>
      </c>
      <c r="I18" s="475" t="s">
        <v>381</v>
      </c>
      <c r="J18" s="477">
        <v>1</v>
      </c>
      <c r="K18" s="497">
        <f>IF(F18="",0,(VLOOKUP('wgl tot'!F18,saltab2019,'wgl tot'!G18+1,FALSE)))</f>
        <v>2691</v>
      </c>
      <c r="L18" s="479">
        <f t="shared" si="0"/>
        <v>2691</v>
      </c>
      <c r="M18" s="467"/>
      <c r="N18" s="497">
        <f>ROUND(IF(('wgl tot'!L18+'wgl tot'!P18)*BB18&lt;'wgl tot'!H18*tabellen!$D$43,'wgl tot'!H18*tabellen!$D$43,('wgl tot'!L18+'wgl tot'!P18)*BB18),2)</f>
        <v>215.28</v>
      </c>
      <c r="O18" s="497">
        <f>ROUND(+('wgl tot'!L18+'wgl tot'!P18)*BC18,2)</f>
        <v>169.53</v>
      </c>
      <c r="P18" s="497">
        <f>ROUND(IF(I18="j",VLOOKUP(AZ18,uitlooptoeslag,2,FALSE))*IF('wgl tot'!H18&gt;1,1,'wgl tot'!H18),2)</f>
        <v>0</v>
      </c>
      <c r="Q18" s="497">
        <f>ROUND(IF(BE18="j",tabellen!$D$52*IF('wgl tot'!H18&gt;1,1,'wgl tot'!H18),0),2)</f>
        <v>0</v>
      </c>
      <c r="R18" s="497">
        <f>IF(AND(F18&gt;0,F18&lt;17),tabellen!$C$37*'wgl tot'!H18,0)</f>
        <v>0</v>
      </c>
      <c r="S18" s="497">
        <f>VLOOKUP(BD18,eindejaarsuitkering_OOP,2,TRUE)*'wgl tot'!H18/12</f>
        <v>0</v>
      </c>
      <c r="T18" s="497">
        <f>ROUND('wgl tot'!H18*tabellen!$D$50,2)</f>
        <v>200</v>
      </c>
      <c r="U18" s="498">
        <f t="shared" si="1"/>
        <v>37110</v>
      </c>
      <c r="V18" s="497">
        <f>('wgl tot'!L18+'wgl tot'!P18)*tabellen!$C$39*12</f>
        <v>258.33600000000001</v>
      </c>
      <c r="W18" s="479">
        <f t="shared" si="10"/>
        <v>37368.336000000003</v>
      </c>
      <c r="X18" s="467"/>
      <c r="Y18" s="498">
        <f t="shared" si="11"/>
        <v>3092.5</v>
      </c>
      <c r="Z18" s="674">
        <f>+'wgl tot'!V18/12</f>
        <v>21.528000000000002</v>
      </c>
      <c r="AA18" s="467"/>
      <c r="AB18" s="497">
        <f>IF(F18="",0,(IF('wgl tot'!U18/'wgl tot'!H18&lt;tabellen!$E$6,0,('wgl tot'!U18-tabellen!$E$6*'wgl tot'!H18)/12)*tabellen!$C$6))</f>
        <v>317.39400000000001</v>
      </c>
      <c r="AC18" s="497">
        <f>IF(F18="",0,(IF('wgl tot'!U18/'wgl tot'!H18&lt;tabellen!$E$7,0,(+'wgl tot'!U18-tabellen!$E$7*'wgl tot'!H18)/12)*tabellen!$C$7))</f>
        <v>4.8591666666666669</v>
      </c>
      <c r="AD18" s="497">
        <f>'wgl tot'!U18/12*tabellen!$C$8</f>
        <v>80.405000000000001</v>
      </c>
      <c r="AE18" s="497">
        <f>IF(H18=0,0,IF(BJ18&gt;tabellen!$G$9/12,tabellen!$G$9/12,BJ18)*(tabellen!$C$9+tabellen!$C$10))</f>
        <v>231.82412905000001</v>
      </c>
      <c r="AF18" s="497">
        <f>IF(F18="",0,('wgl tot'!BK18))</f>
        <v>205.34</v>
      </c>
      <c r="AG18" s="499">
        <f>IF(F18="",0,(IF('wgl tot'!BJ18&gt;tabellen!$G$12*'wgl tot'!H18/12,tabellen!$G$12*'wgl tot'!H18/12,'wgl tot'!BJ18)*tabellen!$C$12))</f>
        <v>23.212172100000004</v>
      </c>
      <c r="AH18" s="467"/>
      <c r="AI18" s="499">
        <f>IF(F18="",0,('wgl tot'!BJ18*IF(J18=1,tabellen!$C$13,IF(J18=2,tabellen!$C$14,IF(J18=3,tabellen!$C$15,tabellen!$C$16)))))</f>
        <v>174.09129075000004</v>
      </c>
      <c r="AJ18" s="499">
        <f>IF(F18="",0,('wgl tot'!BJ18*tabellen!$C$17))</f>
        <v>156.23577375000002</v>
      </c>
      <c r="AK18" s="679">
        <v>0</v>
      </c>
      <c r="AL18" s="467"/>
      <c r="AM18" s="479">
        <f t="shared" si="2"/>
        <v>4307.3895323166662</v>
      </c>
      <c r="AN18" s="479">
        <f t="shared" si="12"/>
        <v>51688.674387799998</v>
      </c>
      <c r="AO18" s="467"/>
      <c r="AP18" s="503">
        <f t="shared" si="3"/>
        <v>0.60066500643503007</v>
      </c>
      <c r="AQ18" s="503">
        <f t="shared" si="4"/>
        <v>0.38322119528683296</v>
      </c>
      <c r="AR18" s="467"/>
      <c r="AS18" s="444"/>
      <c r="AT18" s="436"/>
      <c r="AU18" s="436"/>
      <c r="AV18" s="481">
        <f ca="1">YEAR('wgl tot'!$AV$9)-YEAR('wgl tot'!E18)</f>
        <v>58</v>
      </c>
      <c r="AW18" s="481">
        <f ca="1">MONTH('wgl tot'!$AV$9)-MONTH('wgl tot'!E18)</f>
        <v>8</v>
      </c>
      <c r="AX18" s="481">
        <f ca="1">DAY('wgl tot'!$AV$9)-DAY('wgl tot'!E18)</f>
        <v>15</v>
      </c>
      <c r="AY18" s="445">
        <f>IF(AND('wgl tot'!F18&gt;0,'wgl tot'!F18&lt;17),0,100)</f>
        <v>100</v>
      </c>
      <c r="AZ18" s="445" t="str">
        <f t="shared" si="5"/>
        <v>L12</v>
      </c>
      <c r="BA18" s="464">
        <v>42583</v>
      </c>
      <c r="BB18" s="482">
        <f t="shared" si="15"/>
        <v>0.08</v>
      </c>
      <c r="BC18" s="483">
        <f>+tabellen!$D$44</f>
        <v>6.3E-2</v>
      </c>
      <c r="BD18" s="481">
        <f>IF('wgl tot'!AY18=100,0,'wgl tot'!F18)</f>
        <v>0</v>
      </c>
      <c r="BE18" s="483" t="str">
        <f>IF(OR('wgl tot'!F18="DA",'wgl tot'!F18="DB",'wgl tot'!F18="DBuit",'wgl tot'!F18="DC",'wgl tot'!F18="DCuit",MID('wgl tot'!F18,1,5)="meerh"),"j","n")</f>
        <v>n</v>
      </c>
      <c r="BF18" s="485">
        <f>IF('wgl tot'!U18/'wgl tot'!H18&lt;tabellen!$E$6,0,(+'wgl tot'!U18-tabellen!$E$6*'wgl tot'!H18)/12*tabellen!$D$6)</f>
        <v>136.02599999999998</v>
      </c>
      <c r="BG18" s="485">
        <f>IF('wgl tot'!U18/'wgl tot'!H18&lt;tabellen!$E$7,0,(+'wgl tot'!U18-tabellen!$E$7*'wgl tot'!H18)/12*tabellen!$D$7)</f>
        <v>2.0825</v>
      </c>
      <c r="BH18" s="485">
        <f>'wgl tot'!U18/12*tabellen!$D$8</f>
        <v>0</v>
      </c>
      <c r="BI18" s="486">
        <f t="shared" si="6"/>
        <v>138.10849999999999</v>
      </c>
      <c r="BJ18" s="487">
        <f>+(U18+V18)/12-'wgl tot'!BI18</f>
        <v>2975.9195000000004</v>
      </c>
      <c r="BK18" s="487">
        <f>ROUND(IF('wgl tot'!BJ18&gt;tabellen!$H$11,tabellen!$H$11,'wgl tot'!BJ18)*tabellen!$C$11,2)</f>
        <v>205.34</v>
      </c>
      <c r="BL18" s="487">
        <f>+'wgl tot'!BJ18+'wgl tot'!BK18</f>
        <v>3181.2595000000006</v>
      </c>
      <c r="BM18" s="488">
        <f t="shared" si="7"/>
        <v>1960</v>
      </c>
      <c r="BN18" s="488">
        <f t="shared" si="8"/>
        <v>1</v>
      </c>
      <c r="BO18" s="481">
        <f t="shared" si="9"/>
        <v>6</v>
      </c>
      <c r="BP18" s="464">
        <f t="shared" si="13"/>
        <v>44383</v>
      </c>
      <c r="BQ18" s="464">
        <f t="shared" ca="1" si="14"/>
        <v>43364.939215393519</v>
      </c>
      <c r="BR18" s="445"/>
      <c r="BS18" s="464"/>
      <c r="BT18" s="445"/>
      <c r="BU18" s="484"/>
      <c r="BV18" s="484"/>
      <c r="BW18" s="484"/>
      <c r="BX18" s="484"/>
      <c r="BY18" s="484"/>
      <c r="BZ18" s="484"/>
      <c r="CA18" s="436"/>
      <c r="CB18" s="436"/>
    </row>
    <row r="19" spans="1:80" s="447" customFormat="1" ht="12" customHeight="1" x14ac:dyDescent="0.2">
      <c r="A19" s="436"/>
      <c r="B19" s="437"/>
      <c r="C19" s="467"/>
      <c r="D19" s="473" t="s">
        <v>342</v>
      </c>
      <c r="E19" s="474">
        <v>21922</v>
      </c>
      <c r="F19" s="475" t="s">
        <v>315</v>
      </c>
      <c r="G19" s="475">
        <v>5</v>
      </c>
      <c r="H19" s="476">
        <v>1</v>
      </c>
      <c r="I19" s="475" t="s">
        <v>381</v>
      </c>
      <c r="J19" s="477">
        <v>1</v>
      </c>
      <c r="K19" s="497">
        <f>IF(F19="",0,(VLOOKUP('wgl tot'!F19,saltab2019,'wgl tot'!G19+1,FALSE)))</f>
        <v>3015</v>
      </c>
      <c r="L19" s="479">
        <f t="shared" si="0"/>
        <v>3015</v>
      </c>
      <c r="M19" s="467"/>
      <c r="N19" s="497">
        <f>ROUND(IF(('wgl tot'!L19+'wgl tot'!P19)*BB19&lt;'wgl tot'!H19*tabellen!$D$43,'wgl tot'!H19*tabellen!$D$43,('wgl tot'!L19+'wgl tot'!P19)*BB19),2)</f>
        <v>241.2</v>
      </c>
      <c r="O19" s="497">
        <f>ROUND(+('wgl tot'!L19+'wgl tot'!P19)*BC19,2)</f>
        <v>189.95</v>
      </c>
      <c r="P19" s="497">
        <f>ROUND(IF(I19="j",VLOOKUP(AZ19,uitlooptoeslag,2,FALSE))*IF('wgl tot'!H19&gt;1,1,'wgl tot'!H19),2)</f>
        <v>0</v>
      </c>
      <c r="Q19" s="497">
        <f>ROUND(IF(BE19="j",tabellen!$D$52*IF('wgl tot'!H19&gt;1,1,'wgl tot'!H19),0),2)</f>
        <v>0</v>
      </c>
      <c r="R19" s="497">
        <f>IF(AND(F19&gt;0,F19&lt;17),tabellen!$C$37*'wgl tot'!H19,0)</f>
        <v>0</v>
      </c>
      <c r="S19" s="497">
        <f>VLOOKUP(BD19,eindejaarsuitkering_OOP,2,TRUE)*'wgl tot'!H19/12</f>
        <v>0</v>
      </c>
      <c r="T19" s="497">
        <f>ROUND('wgl tot'!H19*tabellen!$D$50,2)</f>
        <v>200</v>
      </c>
      <c r="U19" s="498">
        <f t="shared" si="1"/>
        <v>41554</v>
      </c>
      <c r="V19" s="497">
        <f>('wgl tot'!L19+'wgl tot'!P19)*tabellen!$C$39*12</f>
        <v>289.44</v>
      </c>
      <c r="W19" s="479">
        <f t="shared" si="10"/>
        <v>41843.440000000002</v>
      </c>
      <c r="X19" s="467"/>
      <c r="Y19" s="498">
        <f t="shared" si="11"/>
        <v>3462.8333333333335</v>
      </c>
      <c r="Z19" s="674">
        <f>+'wgl tot'!V19/12</f>
        <v>24.12</v>
      </c>
      <c r="AA19" s="467"/>
      <c r="AB19" s="497">
        <f>IF(F19="",0,(IF('wgl tot'!U19/'wgl tot'!H19&lt;tabellen!$E$6,0,('wgl tot'!U19-tabellen!$E$6*'wgl tot'!H19)/12)*tabellen!$C$6))</f>
        <v>376.75843333333336</v>
      </c>
      <c r="AC19" s="497">
        <f>IF(F19="",0,(IF('wgl tot'!U19/'wgl tot'!H19&lt;tabellen!$E$7,0,(+'wgl tot'!U19-tabellen!$E$7*'wgl tot'!H19)/12)*tabellen!$C$7))</f>
        <v>6.155333333333334</v>
      </c>
      <c r="AD19" s="497">
        <f>'wgl tot'!U19/12*tabellen!$C$8</f>
        <v>90.033666666666662</v>
      </c>
      <c r="AE19" s="497">
        <f>IF(H19=0,0,IF(BJ19&gt;tabellen!$G$9/12,tabellen!$G$9/12,BJ19)*(tabellen!$C$9+tabellen!$C$10))</f>
        <v>258.84981505666667</v>
      </c>
      <c r="AF19" s="497">
        <f>IF(F19="",0,('wgl tot'!BK19))</f>
        <v>229.28</v>
      </c>
      <c r="AG19" s="499">
        <f>IF(F19="",0,(IF('wgl tot'!BJ19&gt;tabellen!$G$12*'wgl tot'!H19/12,tabellen!$G$12*'wgl tot'!H19/12,'wgl tot'!BJ19)*tabellen!$C$12))</f>
        <v>25.91820998</v>
      </c>
      <c r="AH19" s="467"/>
      <c r="AI19" s="499">
        <f>IF(F19="",0,('wgl tot'!BJ19*IF(J19=1,tabellen!$C$13,IF(J19=2,tabellen!$C$14,IF(J19=3,tabellen!$C$15,tabellen!$C$16)))))</f>
        <v>194.38657485000002</v>
      </c>
      <c r="AJ19" s="499">
        <f>IF(F19="",0,('wgl tot'!BJ19*tabellen!$C$17))</f>
        <v>174.44949025</v>
      </c>
      <c r="AK19" s="679">
        <v>0</v>
      </c>
      <c r="AL19" s="467"/>
      <c r="AM19" s="479">
        <f t="shared" si="2"/>
        <v>4842.7848568033332</v>
      </c>
      <c r="AN19" s="479">
        <f t="shared" si="12"/>
        <v>58113.418281639999</v>
      </c>
      <c r="AO19" s="467"/>
      <c r="AP19" s="503">
        <f t="shared" si="3"/>
        <v>0.60623046660143731</v>
      </c>
      <c r="AQ19" s="503">
        <f t="shared" si="4"/>
        <v>0.38882984481295035</v>
      </c>
      <c r="AR19" s="467"/>
      <c r="AS19" s="444"/>
      <c r="AT19" s="436"/>
      <c r="AU19" s="436"/>
      <c r="AV19" s="481">
        <f ca="1">YEAR('wgl tot'!$AV$9)-YEAR('wgl tot'!E19)</f>
        <v>58</v>
      </c>
      <c r="AW19" s="481">
        <f ca="1">MONTH('wgl tot'!$AV$9)-MONTH('wgl tot'!E19)</f>
        <v>8</v>
      </c>
      <c r="AX19" s="481">
        <f ca="1">DAY('wgl tot'!$AV$9)-DAY('wgl tot'!E19)</f>
        <v>14</v>
      </c>
      <c r="AY19" s="445">
        <f>IF(AND('wgl tot'!F19&gt;0,'wgl tot'!F19&lt;17),0,100)</f>
        <v>100</v>
      </c>
      <c r="AZ19" s="445" t="str">
        <f t="shared" si="5"/>
        <v>L11</v>
      </c>
      <c r="BA19" s="464">
        <v>42583</v>
      </c>
      <c r="BB19" s="482">
        <f t="shared" si="15"/>
        <v>0.08</v>
      </c>
      <c r="BC19" s="483">
        <f>+tabellen!$D$44</f>
        <v>6.3E-2</v>
      </c>
      <c r="BD19" s="481">
        <f>IF('wgl tot'!AY19=100,0,'wgl tot'!F19)</f>
        <v>0</v>
      </c>
      <c r="BE19" s="483" t="str">
        <f>IF(OR('wgl tot'!F19="DA",'wgl tot'!F19="DB",'wgl tot'!F19="DBuit",'wgl tot'!F19="DC",'wgl tot'!F19="DCuit",MID('wgl tot'!F19,1,5)="meerh"),"j","n")</f>
        <v>n</v>
      </c>
      <c r="BF19" s="485">
        <f>IF('wgl tot'!U19/'wgl tot'!H19&lt;tabellen!$E$6,0,(+'wgl tot'!U19-tabellen!$E$6*'wgl tot'!H19)/12*tabellen!$D$6)</f>
        <v>161.46790000000001</v>
      </c>
      <c r="BG19" s="485">
        <f>IF('wgl tot'!U19/'wgl tot'!H19&lt;tabellen!$E$7,0,(+'wgl tot'!U19-tabellen!$E$7*'wgl tot'!H19)/12*tabellen!$D$7)</f>
        <v>2.6380000000000003</v>
      </c>
      <c r="BH19" s="485">
        <f>'wgl tot'!U19/12*tabellen!$D$8</f>
        <v>0</v>
      </c>
      <c r="BI19" s="486">
        <f t="shared" si="6"/>
        <v>164.10590000000002</v>
      </c>
      <c r="BJ19" s="487">
        <f>+(U19+V19)/12-'wgl tot'!BI19</f>
        <v>3322.8474333333334</v>
      </c>
      <c r="BK19" s="487">
        <f>ROUND(IF('wgl tot'!BJ19&gt;tabellen!$H$11,tabellen!$H$11,'wgl tot'!BJ19)*tabellen!$C$11,2)</f>
        <v>229.28</v>
      </c>
      <c r="BL19" s="487">
        <f>+'wgl tot'!BJ19+'wgl tot'!BK19</f>
        <v>3552.1274333333336</v>
      </c>
      <c r="BM19" s="488">
        <f t="shared" si="7"/>
        <v>1960</v>
      </c>
      <c r="BN19" s="488">
        <f t="shared" si="8"/>
        <v>1</v>
      </c>
      <c r="BO19" s="481">
        <f t="shared" si="9"/>
        <v>7</v>
      </c>
      <c r="BP19" s="464">
        <f t="shared" si="13"/>
        <v>44384</v>
      </c>
      <c r="BQ19" s="464">
        <f t="shared" ca="1" si="14"/>
        <v>43364.939215393519</v>
      </c>
      <c r="BR19" s="445"/>
      <c r="BS19" s="464"/>
      <c r="BT19" s="445"/>
      <c r="BU19" s="484"/>
      <c r="BV19" s="484"/>
      <c r="BW19" s="484"/>
      <c r="BX19" s="484"/>
      <c r="BY19" s="484"/>
      <c r="BZ19" s="484"/>
      <c r="CA19" s="436"/>
      <c r="CB19" s="436"/>
    </row>
    <row r="20" spans="1:80" s="447" customFormat="1" ht="12" customHeight="1" x14ac:dyDescent="0.2">
      <c r="A20" s="436"/>
      <c r="B20" s="437"/>
      <c r="C20" s="467"/>
      <c r="D20" s="473" t="s">
        <v>342</v>
      </c>
      <c r="E20" s="474">
        <v>21923</v>
      </c>
      <c r="F20" s="475" t="s">
        <v>315</v>
      </c>
      <c r="G20" s="475">
        <v>9</v>
      </c>
      <c r="H20" s="476">
        <v>1</v>
      </c>
      <c r="I20" s="475" t="s">
        <v>381</v>
      </c>
      <c r="J20" s="477">
        <v>1</v>
      </c>
      <c r="K20" s="497">
        <f>IF(F20="",0,(VLOOKUP('wgl tot'!F20,saltab2019,'wgl tot'!G20+1,FALSE)))</f>
        <v>3443</v>
      </c>
      <c r="L20" s="479">
        <f t="shared" si="0"/>
        <v>3443</v>
      </c>
      <c r="M20" s="467"/>
      <c r="N20" s="497">
        <f>ROUND(IF(('wgl tot'!L20+'wgl tot'!P20)*BB20&lt;'wgl tot'!H20*tabellen!$D$43,'wgl tot'!H20*tabellen!$D$43,('wgl tot'!L20+'wgl tot'!P20)*BB20),2)</f>
        <v>275.44</v>
      </c>
      <c r="O20" s="497">
        <f>ROUND(+('wgl tot'!L20+'wgl tot'!P20)*BC20,2)</f>
        <v>216.91</v>
      </c>
      <c r="P20" s="497">
        <f>ROUND(IF(I20="j",VLOOKUP(AZ20,uitlooptoeslag,2,FALSE))*IF('wgl tot'!H20&gt;1,1,'wgl tot'!H20),2)</f>
        <v>0</v>
      </c>
      <c r="Q20" s="497">
        <f>ROUND(IF(BE20="j",tabellen!$D$52*IF('wgl tot'!H20&gt;1,1,'wgl tot'!H20),0),2)</f>
        <v>0</v>
      </c>
      <c r="R20" s="497">
        <f>IF(AND(F20&gt;0,F20&lt;17),tabellen!$C$37*'wgl tot'!H20,0)</f>
        <v>0</v>
      </c>
      <c r="S20" s="497">
        <f>VLOOKUP(BD20,eindejaarsuitkering_OOP,2,TRUE)*'wgl tot'!H20/12</f>
        <v>0</v>
      </c>
      <c r="T20" s="497">
        <f>ROUND('wgl tot'!H20*tabellen!$D$50,2)</f>
        <v>200</v>
      </c>
      <c r="U20" s="498">
        <f t="shared" si="1"/>
        <v>47424</v>
      </c>
      <c r="V20" s="497">
        <f>('wgl tot'!L20+'wgl tot'!P20)*tabellen!$C$39*12</f>
        <v>330.52800000000002</v>
      </c>
      <c r="W20" s="479">
        <f t="shared" si="10"/>
        <v>47754.527999999998</v>
      </c>
      <c r="X20" s="467"/>
      <c r="Y20" s="498">
        <f t="shared" si="11"/>
        <v>3952</v>
      </c>
      <c r="Z20" s="674">
        <f>+'wgl tot'!V20/12</f>
        <v>27.544</v>
      </c>
      <c r="AA20" s="467"/>
      <c r="AB20" s="497">
        <f>IF(F20="",0,(IF('wgl tot'!U20/'wgl tot'!H20&lt;tabellen!$E$6,0,('wgl tot'!U20-tabellen!$E$6*'wgl tot'!H20)/12)*tabellen!$C$6))</f>
        <v>455.17185000000001</v>
      </c>
      <c r="AC20" s="497">
        <f>IF(F20="",0,(IF('wgl tot'!U20/'wgl tot'!H20&lt;tabellen!$E$7,0,(+'wgl tot'!U20-tabellen!$E$7*'wgl tot'!H20)/12)*tabellen!$C$7))</f>
        <v>7.8674166666666672</v>
      </c>
      <c r="AD20" s="497">
        <f>'wgl tot'!U20/12*tabellen!$C$8</f>
        <v>102.752</v>
      </c>
      <c r="AE20" s="497">
        <f>IF(H20=0,0,IF(BJ20&gt;tabellen!$G$9/12,tabellen!$G$9/12,BJ20)*(tabellen!$C$9+tabellen!$C$10))</f>
        <v>294.54758093999999</v>
      </c>
      <c r="AF20" s="497">
        <f>IF(F20="",0,('wgl tot'!BK20))</f>
        <v>260.89999999999998</v>
      </c>
      <c r="AG20" s="499">
        <f>IF(F20="",0,(IF('wgl tot'!BJ20&gt;tabellen!$G$12*'wgl tot'!H20/12,tabellen!$G$12*'wgl tot'!H20/12,'wgl tot'!BJ20)*tabellen!$C$12))</f>
        <v>29.492569079999996</v>
      </c>
      <c r="AH20" s="467"/>
      <c r="AI20" s="499">
        <f>IF(F20="",0,('wgl tot'!BJ20*IF(J20=1,tabellen!$C$13,IF(J20=2,tabellen!$C$14,IF(J20=3,tabellen!$C$15,tabellen!$C$16)))))</f>
        <v>221.19426809999999</v>
      </c>
      <c r="AJ20" s="499">
        <f>IF(F20="",0,('wgl tot'!BJ20*tabellen!$C$17))</f>
        <v>198.50767649999997</v>
      </c>
      <c r="AK20" s="679">
        <v>0</v>
      </c>
      <c r="AL20" s="467"/>
      <c r="AM20" s="479">
        <f t="shared" si="2"/>
        <v>5549.9773612866666</v>
      </c>
      <c r="AN20" s="479">
        <f t="shared" si="12"/>
        <v>66599.728335439999</v>
      </c>
      <c r="AO20" s="467"/>
      <c r="AP20" s="503">
        <f t="shared" si="3"/>
        <v>0.61195973316487562</v>
      </c>
      <c r="AQ20" s="503">
        <f t="shared" si="4"/>
        <v>0.39462646003830248</v>
      </c>
      <c r="AR20" s="467"/>
      <c r="AS20" s="444"/>
      <c r="AT20" s="436"/>
      <c r="AU20" s="436"/>
      <c r="AV20" s="481">
        <f ca="1">YEAR('wgl tot'!$AV$9)-YEAR('wgl tot'!E20)</f>
        <v>58</v>
      </c>
      <c r="AW20" s="481">
        <f ca="1">MONTH('wgl tot'!$AV$9)-MONTH('wgl tot'!E20)</f>
        <v>8</v>
      </c>
      <c r="AX20" s="481">
        <f ca="1">DAY('wgl tot'!$AV$9)-DAY('wgl tot'!E20)</f>
        <v>13</v>
      </c>
      <c r="AY20" s="445">
        <f>IF(AND('wgl tot'!F20&gt;0,'wgl tot'!F20&lt;17),0,100)</f>
        <v>100</v>
      </c>
      <c r="AZ20" s="445" t="str">
        <f t="shared" si="5"/>
        <v>L11</v>
      </c>
      <c r="BA20" s="464">
        <v>42583</v>
      </c>
      <c r="BB20" s="482">
        <f t="shared" si="15"/>
        <v>0.08</v>
      </c>
      <c r="BC20" s="483">
        <f>+tabellen!$D$44</f>
        <v>6.3E-2</v>
      </c>
      <c r="BD20" s="481">
        <f>IF('wgl tot'!AY20=100,0,'wgl tot'!F20)</f>
        <v>0</v>
      </c>
      <c r="BE20" s="483" t="str">
        <f>IF(OR('wgl tot'!F20="DA",'wgl tot'!F20="DB",'wgl tot'!F20="DBuit",'wgl tot'!F20="DC",'wgl tot'!F20="DCuit",MID('wgl tot'!F20,1,5)="meerh"),"j","n")</f>
        <v>n</v>
      </c>
      <c r="BF20" s="485">
        <f>IF('wgl tot'!U20/'wgl tot'!H20&lt;tabellen!$E$6,0,(+'wgl tot'!U20-tabellen!$E$6*'wgl tot'!H20)/12*tabellen!$D$6)</f>
        <v>195.07364999999999</v>
      </c>
      <c r="BG20" s="485">
        <f>IF('wgl tot'!U20/'wgl tot'!H20&lt;tabellen!$E$7,0,(+'wgl tot'!U20-tabellen!$E$7*'wgl tot'!H20)/12*tabellen!$D$7)</f>
        <v>3.3717500000000005</v>
      </c>
      <c r="BH20" s="485">
        <f>'wgl tot'!U20/12*tabellen!$D$8</f>
        <v>0</v>
      </c>
      <c r="BI20" s="486">
        <f t="shared" si="6"/>
        <v>198.44539999999998</v>
      </c>
      <c r="BJ20" s="487">
        <f>+(U20+V20)/12-'wgl tot'!BI20</f>
        <v>3781.0985999999998</v>
      </c>
      <c r="BK20" s="487">
        <f>ROUND(IF('wgl tot'!BJ20&gt;tabellen!$H$11,tabellen!$H$11,'wgl tot'!BJ20)*tabellen!$C$11,2)</f>
        <v>260.89999999999998</v>
      </c>
      <c r="BL20" s="487">
        <f>+'wgl tot'!BJ20+'wgl tot'!BK20</f>
        <v>4041.9985999999999</v>
      </c>
      <c r="BM20" s="488">
        <f t="shared" si="7"/>
        <v>1960</v>
      </c>
      <c r="BN20" s="488">
        <f t="shared" si="8"/>
        <v>1</v>
      </c>
      <c r="BO20" s="481">
        <f t="shared" si="9"/>
        <v>8</v>
      </c>
      <c r="BP20" s="464">
        <f t="shared" si="13"/>
        <v>44385</v>
      </c>
      <c r="BQ20" s="464">
        <f t="shared" ca="1" si="14"/>
        <v>43364.939215393519</v>
      </c>
      <c r="BR20" s="445"/>
      <c r="BS20" s="464"/>
      <c r="BT20" s="445"/>
      <c r="BU20" s="484"/>
      <c r="BV20" s="484"/>
      <c r="BW20" s="484"/>
      <c r="BX20" s="484"/>
      <c r="BY20" s="484"/>
      <c r="BZ20" s="484"/>
      <c r="CA20" s="436"/>
      <c r="CB20" s="436"/>
    </row>
    <row r="21" spans="1:80" s="447" customFormat="1" ht="12" customHeight="1" x14ac:dyDescent="0.2">
      <c r="A21" s="436"/>
      <c r="B21" s="437"/>
      <c r="C21" s="467"/>
      <c r="D21" s="473" t="s">
        <v>342</v>
      </c>
      <c r="E21" s="474">
        <v>21924</v>
      </c>
      <c r="F21" s="475" t="s">
        <v>315</v>
      </c>
      <c r="G21" s="475">
        <v>10</v>
      </c>
      <c r="H21" s="476">
        <v>1</v>
      </c>
      <c r="I21" s="475" t="s">
        <v>381</v>
      </c>
      <c r="J21" s="477">
        <v>1</v>
      </c>
      <c r="K21" s="497">
        <f>IF(F21="",0,(VLOOKUP('wgl tot'!F21,saltab2019,'wgl tot'!G21+1,FALSE)))</f>
        <v>3560</v>
      </c>
      <c r="L21" s="479">
        <f t="shared" si="0"/>
        <v>3560</v>
      </c>
      <c r="M21" s="467"/>
      <c r="N21" s="497">
        <f>ROUND(IF(('wgl tot'!L21+'wgl tot'!P21)*BB21&lt;'wgl tot'!H21*tabellen!$D$43,'wgl tot'!H21*tabellen!$D$43,('wgl tot'!L21+'wgl tot'!P21)*BB21),2)</f>
        <v>284.8</v>
      </c>
      <c r="O21" s="497">
        <f>ROUND(+('wgl tot'!L21+'wgl tot'!P21)*BC21,2)</f>
        <v>224.28</v>
      </c>
      <c r="P21" s="497">
        <f>ROUND(IF(I21="j",VLOOKUP(AZ21,uitlooptoeslag,2,FALSE))*IF('wgl tot'!H21&gt;1,1,'wgl tot'!H21),2)</f>
        <v>0</v>
      </c>
      <c r="Q21" s="497">
        <f>ROUND(IF(BE21="j",tabellen!$D$52*IF('wgl tot'!H21&gt;1,1,'wgl tot'!H21),0),2)</f>
        <v>0</v>
      </c>
      <c r="R21" s="497">
        <f>IF(AND(F21&gt;0,F21&lt;17),tabellen!$C$37*'wgl tot'!H21,0)</f>
        <v>0</v>
      </c>
      <c r="S21" s="497">
        <f>VLOOKUP(BD21,eindejaarsuitkering_OOP,2,TRUE)*'wgl tot'!H21/12</f>
        <v>0</v>
      </c>
      <c r="T21" s="497">
        <f>ROUND('wgl tot'!H21*tabellen!$D$50,2)</f>
        <v>200</v>
      </c>
      <c r="U21" s="498">
        <f t="shared" si="1"/>
        <v>49029</v>
      </c>
      <c r="V21" s="497">
        <f>('wgl tot'!L21+'wgl tot'!P21)*tabellen!$C$39*12</f>
        <v>341.76</v>
      </c>
      <c r="W21" s="479">
        <f t="shared" si="10"/>
        <v>49370.76</v>
      </c>
      <c r="X21" s="467"/>
      <c r="Y21" s="498">
        <f t="shared" si="11"/>
        <v>4085.75</v>
      </c>
      <c r="Z21" s="674">
        <f>+'wgl tot'!V21/12</f>
        <v>28.48</v>
      </c>
      <c r="AA21" s="467"/>
      <c r="AB21" s="497">
        <f>IF(F21="",0,(IF('wgl tot'!U21/'wgl tot'!H21&lt;tabellen!$E$6,0,('wgl tot'!U21-tabellen!$E$6*'wgl tot'!H21)/12)*tabellen!$C$6))</f>
        <v>476.61197499999997</v>
      </c>
      <c r="AC21" s="497">
        <f>IF(F21="",0,(IF('wgl tot'!U21/'wgl tot'!H21&lt;tabellen!$E$7,0,(+'wgl tot'!U21-tabellen!$E$7*'wgl tot'!H21)/12)*tabellen!$C$7))</f>
        <v>8.3355416666666677</v>
      </c>
      <c r="AD21" s="497">
        <f>'wgl tot'!U21/12*tabellen!$C$8</f>
        <v>106.2295</v>
      </c>
      <c r="AE21" s="497">
        <f>IF(H21=0,0,IF(BJ21&gt;tabellen!$G$9/12,tabellen!$G$9/12,BJ21)*(tabellen!$C$9+tabellen!$C$10))</f>
        <v>304.30819776500005</v>
      </c>
      <c r="AF21" s="497">
        <f>IF(F21="",0,('wgl tot'!BK21))</f>
        <v>269.54000000000002</v>
      </c>
      <c r="AG21" s="499">
        <f>IF(F21="",0,(IF('wgl tot'!BJ21&gt;tabellen!$G$12*'wgl tot'!H21/12,tabellen!$G$12*'wgl tot'!H21/12,'wgl tot'!BJ21)*tabellen!$C$12))</f>
        <v>30.469883730000003</v>
      </c>
      <c r="AH21" s="467"/>
      <c r="AI21" s="499">
        <f>IF(F21="",0,('wgl tot'!BJ21*IF(J21=1,tabellen!$C$13,IF(J21=2,tabellen!$C$14,IF(J21=3,tabellen!$C$15,tabellen!$C$16)))))</f>
        <v>228.52412797500006</v>
      </c>
      <c r="AJ21" s="499">
        <f>IF(F21="",0,('wgl tot'!BJ21*tabellen!$C$17))</f>
        <v>205.08575587500002</v>
      </c>
      <c r="AK21" s="679">
        <v>0</v>
      </c>
      <c r="AL21" s="467"/>
      <c r="AM21" s="479">
        <f t="shared" si="2"/>
        <v>5743.3349820116664</v>
      </c>
      <c r="AN21" s="479">
        <f t="shared" si="12"/>
        <v>68920.019784139993</v>
      </c>
      <c r="AO21" s="467"/>
      <c r="AP21" s="503">
        <f t="shared" si="3"/>
        <v>0.61329634326170401</v>
      </c>
      <c r="AQ21" s="503">
        <f t="shared" si="4"/>
        <v>0.3959683785329613</v>
      </c>
      <c r="AR21" s="467"/>
      <c r="AS21" s="444"/>
      <c r="AT21" s="436"/>
      <c r="AU21" s="436"/>
      <c r="AV21" s="481">
        <f ca="1">YEAR('wgl tot'!$AV$9)-YEAR('wgl tot'!E21)</f>
        <v>58</v>
      </c>
      <c r="AW21" s="481">
        <f ca="1">MONTH('wgl tot'!$AV$9)-MONTH('wgl tot'!E21)</f>
        <v>8</v>
      </c>
      <c r="AX21" s="481">
        <f ca="1">DAY('wgl tot'!$AV$9)-DAY('wgl tot'!E21)</f>
        <v>12</v>
      </c>
      <c r="AY21" s="445">
        <f>IF(AND('wgl tot'!F21&gt;0,'wgl tot'!F21&lt;17),0,100)</f>
        <v>100</v>
      </c>
      <c r="AZ21" s="445" t="str">
        <f t="shared" si="5"/>
        <v>L11</v>
      </c>
      <c r="BA21" s="464">
        <v>42583</v>
      </c>
      <c r="BB21" s="482">
        <f t="shared" si="15"/>
        <v>0.08</v>
      </c>
      <c r="BC21" s="483">
        <f>+tabellen!$D$44</f>
        <v>6.3E-2</v>
      </c>
      <c r="BD21" s="481">
        <f>IF('wgl tot'!AY21=100,0,'wgl tot'!F21)</f>
        <v>0</v>
      </c>
      <c r="BE21" s="483" t="str">
        <f>IF(OR('wgl tot'!F21="DA",'wgl tot'!F21="DB",'wgl tot'!F21="DBuit",'wgl tot'!F21="DC",'wgl tot'!F21="DCuit",MID('wgl tot'!F21,1,5)="meerh"),"j","n")</f>
        <v>n</v>
      </c>
      <c r="BF21" s="485">
        <f>IF('wgl tot'!U21/'wgl tot'!H21&lt;tabellen!$E$6,0,(+'wgl tot'!U21-tabellen!$E$6*'wgl tot'!H21)/12*tabellen!$D$6)</f>
        <v>204.26227499999999</v>
      </c>
      <c r="BG21" s="485">
        <f>IF('wgl tot'!U21/'wgl tot'!H21&lt;tabellen!$E$7,0,(+'wgl tot'!U21-tabellen!$E$7*'wgl tot'!H21)/12*tabellen!$D$7)</f>
        <v>3.5723750000000005</v>
      </c>
      <c r="BH21" s="485">
        <f>'wgl tot'!U21/12*tabellen!$D$8</f>
        <v>0</v>
      </c>
      <c r="BI21" s="486">
        <f t="shared" si="6"/>
        <v>207.83464999999998</v>
      </c>
      <c r="BJ21" s="487">
        <f>+(U21+V21)/12-'wgl tot'!BI21</f>
        <v>3906.3953500000007</v>
      </c>
      <c r="BK21" s="487">
        <f>ROUND(IF('wgl tot'!BJ21&gt;tabellen!$H$11,tabellen!$H$11,'wgl tot'!BJ21)*tabellen!$C$11,2)</f>
        <v>269.54000000000002</v>
      </c>
      <c r="BL21" s="487">
        <f>+'wgl tot'!BJ21+'wgl tot'!BK21</f>
        <v>4175.9353500000007</v>
      </c>
      <c r="BM21" s="488">
        <f t="shared" si="7"/>
        <v>1960</v>
      </c>
      <c r="BN21" s="488">
        <f t="shared" si="8"/>
        <v>1</v>
      </c>
      <c r="BO21" s="481">
        <f t="shared" si="9"/>
        <v>9</v>
      </c>
      <c r="BP21" s="464">
        <f t="shared" si="13"/>
        <v>44386</v>
      </c>
      <c r="BQ21" s="464">
        <f t="shared" ca="1" si="14"/>
        <v>43364.939215393519</v>
      </c>
      <c r="BR21" s="445"/>
      <c r="BS21" s="464"/>
      <c r="BT21" s="445"/>
      <c r="BU21" s="484"/>
      <c r="BV21" s="484"/>
      <c r="BW21" s="484"/>
      <c r="BX21" s="484"/>
      <c r="BY21" s="484"/>
      <c r="BZ21" s="484"/>
      <c r="CA21" s="436"/>
      <c r="CB21" s="436"/>
    </row>
    <row r="22" spans="1:80" s="447" customFormat="1" ht="12" customHeight="1" x14ac:dyDescent="0.2">
      <c r="A22" s="436"/>
      <c r="B22" s="437"/>
      <c r="C22" s="467"/>
      <c r="D22" s="473" t="s">
        <v>342</v>
      </c>
      <c r="E22" s="474">
        <v>21925</v>
      </c>
      <c r="F22" s="475" t="s">
        <v>316</v>
      </c>
      <c r="G22" s="475">
        <v>15</v>
      </c>
      <c r="H22" s="476">
        <v>1</v>
      </c>
      <c r="I22" s="475" t="s">
        <v>394</v>
      </c>
      <c r="J22" s="477">
        <v>1</v>
      </c>
      <c r="K22" s="497">
        <f>IF(F22="",0,(VLOOKUP('wgl tot'!F22,saltab2019,'wgl tot'!G22+1,FALSE)))</f>
        <v>4851</v>
      </c>
      <c r="L22" s="479">
        <f t="shared" si="0"/>
        <v>4851</v>
      </c>
      <c r="M22" s="467"/>
      <c r="N22" s="497">
        <f>ROUND(IF(('wgl tot'!L22+'wgl tot'!P22)*BB22&lt;'wgl tot'!H22*tabellen!$D$43,'wgl tot'!H22*tabellen!$D$43,('wgl tot'!L22+'wgl tot'!P22)*BB22),2)</f>
        <v>392.15</v>
      </c>
      <c r="O22" s="497">
        <f>ROUND(+('wgl tot'!L22+'wgl tot'!P22)*BC22,2)</f>
        <v>308.82</v>
      </c>
      <c r="P22" s="497">
        <f>ROUND(IF(I22="j",VLOOKUP(AZ22,uitlooptoeslag,2,FALSE))*IF('wgl tot'!H22&gt;1,1,'wgl tot'!H22),2)</f>
        <v>50.92</v>
      </c>
      <c r="Q22" s="497">
        <f>ROUND(IF(BE22="j",tabellen!$D$52*IF('wgl tot'!H22&gt;1,1,'wgl tot'!H22),0),2)</f>
        <v>0</v>
      </c>
      <c r="R22" s="497">
        <f>IF(AND(F22&gt;0,F22&lt;17),tabellen!$C$37*'wgl tot'!H22,0)</f>
        <v>0</v>
      </c>
      <c r="S22" s="497">
        <f>VLOOKUP(BD22,eindejaarsuitkering_OOP,2,TRUE)*'wgl tot'!H22/12</f>
        <v>0</v>
      </c>
      <c r="T22" s="497">
        <f>ROUND('wgl tot'!H22*tabellen!$D$50,2)</f>
        <v>200</v>
      </c>
      <c r="U22" s="498">
        <f t="shared" si="1"/>
        <v>67435</v>
      </c>
      <c r="V22" s="497">
        <f>('wgl tot'!L22+'wgl tot'!P22)*tabellen!$C$39*12</f>
        <v>470.58432000000005</v>
      </c>
      <c r="W22" s="479">
        <f t="shared" si="10"/>
        <v>67905.584319999994</v>
      </c>
      <c r="X22" s="467"/>
      <c r="Y22" s="498">
        <f t="shared" si="11"/>
        <v>5619.583333333333</v>
      </c>
      <c r="Z22" s="674">
        <f>+'wgl tot'!V22/12</f>
        <v>39.215360000000004</v>
      </c>
      <c r="AA22" s="467"/>
      <c r="AB22" s="497">
        <f>IF(F22="",0,(IF('wgl tot'!U22/'wgl tot'!H22&lt;tabellen!$E$6,0,('wgl tot'!U22-tabellen!$E$6*'wgl tot'!H22)/12)*tabellen!$C$6))</f>
        <v>722.48545833333333</v>
      </c>
      <c r="AC22" s="497">
        <f>IF(F22="",0,(IF('wgl tot'!U22/'wgl tot'!H22&lt;tabellen!$E$7,0,(+'wgl tot'!U22-tabellen!$E$7*'wgl tot'!H22)/12)*tabellen!$C$7))</f>
        <v>13.703958333333333</v>
      </c>
      <c r="AD22" s="497">
        <f>'wgl tot'!U22/12*tabellen!$C$8</f>
        <v>146.10916666666665</v>
      </c>
      <c r="AE22" s="497">
        <f>IF(H22=0,0,IF(BJ22&gt;tabellen!$G$9/12,tabellen!$G$9/12,BJ22)*(tabellen!$C$9+tabellen!$C$10))</f>
        <v>354.71115833333334</v>
      </c>
      <c r="AF22" s="497">
        <f>IF(F22="",0,('wgl tot'!BK22))</f>
        <v>314.02999999999997</v>
      </c>
      <c r="AG22" s="499">
        <f>IF(F22="",0,(IF('wgl tot'!BJ22&gt;tabellen!$G$12*'wgl tot'!H22/12,tabellen!$G$12*'wgl tot'!H22/12,'wgl tot'!BJ22)*tabellen!$C$12))</f>
        <v>35.516649999999998</v>
      </c>
      <c r="AH22" s="467"/>
      <c r="AI22" s="499">
        <f>IF(F22="",0,('wgl tot'!BJ22*IF(J22=1,tabellen!$C$13,IF(J22=2,tabellen!$C$14,IF(J22=3,tabellen!$C$15,tabellen!$C$16)))))</f>
        <v>312.58240318499998</v>
      </c>
      <c r="AJ22" s="499">
        <f>IF(F22="",0,('wgl tot'!BJ22*tabellen!$C$17))</f>
        <v>280.52266952499997</v>
      </c>
      <c r="AK22" s="679">
        <v>0</v>
      </c>
      <c r="AL22" s="467"/>
      <c r="AM22" s="479">
        <f t="shared" si="2"/>
        <v>7838.4601577100002</v>
      </c>
      <c r="AN22" s="479">
        <f t="shared" si="12"/>
        <v>94061.521892520002</v>
      </c>
      <c r="AO22" s="467"/>
      <c r="AP22" s="503">
        <f t="shared" si="3"/>
        <v>0.61584418835497834</v>
      </c>
      <c r="AQ22" s="503">
        <f t="shared" si="4"/>
        <v>0.38518095138187891</v>
      </c>
      <c r="AR22" s="467"/>
      <c r="AS22" s="444"/>
      <c r="AT22" s="436"/>
      <c r="AU22" s="436"/>
      <c r="AV22" s="481">
        <f ca="1">YEAR('wgl tot'!$AV$9)-YEAR('wgl tot'!E22)</f>
        <v>58</v>
      </c>
      <c r="AW22" s="481">
        <f ca="1">MONTH('wgl tot'!$AV$9)-MONTH('wgl tot'!E22)</f>
        <v>8</v>
      </c>
      <c r="AX22" s="481">
        <f ca="1">DAY('wgl tot'!$AV$9)-DAY('wgl tot'!E22)</f>
        <v>11</v>
      </c>
      <c r="AY22" s="445">
        <f>IF(AND('wgl tot'!F22&gt;0,'wgl tot'!F22&lt;17),0,100)</f>
        <v>100</v>
      </c>
      <c r="AZ22" s="445" t="str">
        <f t="shared" si="5"/>
        <v>L12</v>
      </c>
      <c r="BA22" s="464">
        <v>42583</v>
      </c>
      <c r="BB22" s="482">
        <f t="shared" si="15"/>
        <v>0.08</v>
      </c>
      <c r="BC22" s="483">
        <f>+tabellen!$D$44</f>
        <v>6.3E-2</v>
      </c>
      <c r="BD22" s="481">
        <f>IF('wgl tot'!AY22=100,0,'wgl tot'!F22)</f>
        <v>0</v>
      </c>
      <c r="BE22" s="483" t="str">
        <f>IF(OR('wgl tot'!F22="DA",'wgl tot'!F22="DB",'wgl tot'!F22="DBuit",'wgl tot'!F22="DC",'wgl tot'!F22="DCuit",MID('wgl tot'!F22,1,5)="meerh"),"j","n")</f>
        <v>n</v>
      </c>
      <c r="BF22" s="485">
        <f>IF('wgl tot'!U22/'wgl tot'!H22&lt;tabellen!$E$6,0,(+'wgl tot'!U22-tabellen!$E$6*'wgl tot'!H22)/12*tabellen!$D$6)</f>
        <v>309.63662499999998</v>
      </c>
      <c r="BG22" s="485">
        <f>IF('wgl tot'!U22/'wgl tot'!H22&lt;tabellen!$E$7,0,(+'wgl tot'!U22-tabellen!$E$7*'wgl tot'!H22)/12*tabellen!$D$7)</f>
        <v>5.8731249999999999</v>
      </c>
      <c r="BH22" s="485">
        <f>'wgl tot'!U22/12*tabellen!$D$8</f>
        <v>0</v>
      </c>
      <c r="BI22" s="486">
        <f t="shared" si="6"/>
        <v>315.50975</v>
      </c>
      <c r="BJ22" s="487">
        <f>+(U22+V22)/12-'wgl tot'!BI22</f>
        <v>5343.288943333333</v>
      </c>
      <c r="BK22" s="487">
        <f>ROUND(IF('wgl tot'!BJ22&gt;tabellen!$H$11,tabellen!$H$11,'wgl tot'!BJ22)*tabellen!$C$11,2)</f>
        <v>314.02999999999997</v>
      </c>
      <c r="BL22" s="487">
        <f>+'wgl tot'!BJ22+'wgl tot'!BK22</f>
        <v>5657.3189433333328</v>
      </c>
      <c r="BM22" s="488">
        <f t="shared" si="7"/>
        <v>1960</v>
      </c>
      <c r="BN22" s="488">
        <f t="shared" si="8"/>
        <v>1</v>
      </c>
      <c r="BO22" s="481">
        <f t="shared" si="9"/>
        <v>10</v>
      </c>
      <c r="BP22" s="464">
        <f t="shared" si="13"/>
        <v>44387</v>
      </c>
      <c r="BQ22" s="464">
        <f t="shared" ca="1" si="14"/>
        <v>43364.939215393519</v>
      </c>
      <c r="BR22" s="445"/>
      <c r="BS22" s="464"/>
      <c r="BT22" s="445"/>
      <c r="BU22" s="484"/>
      <c r="BV22" s="484"/>
      <c r="BW22" s="484"/>
      <c r="BX22" s="484"/>
      <c r="BY22" s="484"/>
      <c r="BZ22" s="484"/>
      <c r="CA22" s="436"/>
      <c r="CB22" s="436"/>
    </row>
    <row r="23" spans="1:80" s="447" customFormat="1" ht="12" customHeight="1" x14ac:dyDescent="0.2">
      <c r="A23" s="436"/>
      <c r="B23" s="437"/>
      <c r="C23" s="467"/>
      <c r="D23" s="473"/>
      <c r="E23" s="474"/>
      <c r="F23" s="475"/>
      <c r="G23" s="475"/>
      <c r="H23" s="476"/>
      <c r="I23" s="475"/>
      <c r="J23" s="477"/>
      <c r="K23" s="497">
        <f>IF(F23="",0,(VLOOKUP('wgl tot'!F23,saltab2019,'wgl tot'!G23+1,FALSE)))</f>
        <v>0</v>
      </c>
      <c r="L23" s="479">
        <f t="shared" si="0"/>
        <v>0</v>
      </c>
      <c r="M23" s="467"/>
      <c r="N23" s="497">
        <f>ROUND(IF(('wgl tot'!L23+'wgl tot'!P23)*BB23&lt;'wgl tot'!H23*tabellen!$D$43,'wgl tot'!H23*tabellen!$D$43,('wgl tot'!L23+'wgl tot'!P23)*BB23),2)</f>
        <v>0</v>
      </c>
      <c r="O23" s="497">
        <f>ROUND(+('wgl tot'!L23+'wgl tot'!P23)*BC23,2)</f>
        <v>0</v>
      </c>
      <c r="P23" s="497">
        <f>ROUND(IF(I23="j",VLOOKUP(AZ23,uitlooptoeslag,2,FALSE))*IF('wgl tot'!H23&gt;1,1,'wgl tot'!H23),2)</f>
        <v>0</v>
      </c>
      <c r="Q23" s="497">
        <f>ROUND(IF(BE23="j",tabellen!$D$52*IF('wgl tot'!H23&gt;1,1,'wgl tot'!H23),0),2)</f>
        <v>0</v>
      </c>
      <c r="R23" s="497">
        <f>IF(AND(F23&gt;0,F23&lt;17),tabellen!$C$37*'wgl tot'!H23,0)</f>
        <v>0</v>
      </c>
      <c r="S23" s="497">
        <f>VLOOKUP(BD23,eindejaarsuitkering_OOP,2,TRUE)*'wgl tot'!H23/12</f>
        <v>0</v>
      </c>
      <c r="T23" s="497">
        <f>ROUND('wgl tot'!H23*tabellen!$D$50,2)</f>
        <v>0</v>
      </c>
      <c r="U23" s="498">
        <f t="shared" si="1"/>
        <v>0</v>
      </c>
      <c r="V23" s="497">
        <f>('wgl tot'!L23+'wgl tot'!P23)*tabellen!$C$39*12</f>
        <v>0</v>
      </c>
      <c r="W23" s="479">
        <f t="shared" si="10"/>
        <v>0</v>
      </c>
      <c r="X23" s="467"/>
      <c r="Y23" s="498">
        <f t="shared" si="11"/>
        <v>0</v>
      </c>
      <c r="Z23" s="674">
        <f>+'wgl tot'!V23/12</f>
        <v>0</v>
      </c>
      <c r="AA23" s="467"/>
      <c r="AB23" s="497">
        <f>IF(F23="",0,(IF('wgl tot'!U23/'wgl tot'!H23&lt;tabellen!$E$6,0,('wgl tot'!U23-tabellen!$E$6*'wgl tot'!H23)/12)*tabellen!$C$6))</f>
        <v>0</v>
      </c>
      <c r="AC23" s="497">
        <f>IF(F23="",0,(IF('wgl tot'!U23/'wgl tot'!H23&lt;tabellen!$E$7,0,(+'wgl tot'!U23-tabellen!$E$7*'wgl tot'!H23)/12)*tabellen!$C$7))</f>
        <v>0</v>
      </c>
      <c r="AD23" s="497">
        <f>'wgl tot'!U23/12*tabellen!$C$8</f>
        <v>0</v>
      </c>
      <c r="AE23" s="497">
        <f>IF(H23=0,0,IF(BJ23&gt;tabellen!$G$9/12,tabellen!$G$9/12,BJ23)*(tabellen!$C$9+tabellen!$C$10))</f>
        <v>0</v>
      </c>
      <c r="AF23" s="497">
        <f>IF(F23="",0,('wgl tot'!BK23))</f>
        <v>0</v>
      </c>
      <c r="AG23" s="499">
        <f>IF(F23="",0,(IF('wgl tot'!BJ23&gt;tabellen!$G$12*'wgl tot'!H23/12,tabellen!$G$12*'wgl tot'!H23/12,'wgl tot'!BJ23)*tabellen!$C$12))</f>
        <v>0</v>
      </c>
      <c r="AH23" s="467"/>
      <c r="AI23" s="499">
        <f>IF(F23="",0,('wgl tot'!BJ23*IF(J23=1,tabellen!$C$13,IF(J23=2,tabellen!$C$14,IF(J23=3,tabellen!$C$15,tabellen!$C$16)))))</f>
        <v>0</v>
      </c>
      <c r="AJ23" s="499">
        <f>IF(F23="",0,('wgl tot'!BJ23*tabellen!$C$17))</f>
        <v>0</v>
      </c>
      <c r="AK23" s="679">
        <v>0</v>
      </c>
      <c r="AL23" s="467"/>
      <c r="AM23" s="479">
        <f t="shared" si="2"/>
        <v>0</v>
      </c>
      <c r="AN23" s="479">
        <f t="shared" si="12"/>
        <v>0</v>
      </c>
      <c r="AO23" s="467"/>
      <c r="AP23" s="503" t="str">
        <f t="shared" si="3"/>
        <v/>
      </c>
      <c r="AQ23" s="503" t="str">
        <f t="shared" si="4"/>
        <v/>
      </c>
      <c r="AR23" s="467"/>
      <c r="AS23" s="444"/>
      <c r="AT23" s="436"/>
      <c r="AU23" s="436"/>
      <c r="AV23" s="481">
        <f ca="1">YEAR('wgl tot'!$AV$9)-YEAR('wgl tot'!E23)</f>
        <v>118</v>
      </c>
      <c r="AW23" s="481">
        <f ca="1">MONTH('wgl tot'!$AV$9)-MONTH('wgl tot'!E23)</f>
        <v>8</v>
      </c>
      <c r="AX23" s="481">
        <f ca="1">DAY('wgl tot'!$AV$9)-DAY('wgl tot'!E23)</f>
        <v>21</v>
      </c>
      <c r="AY23" s="445">
        <f>IF(AND('wgl tot'!F23&gt;0,'wgl tot'!F23&lt;17),0,100)</f>
        <v>100</v>
      </c>
      <c r="AZ23" s="445">
        <f t="shared" si="5"/>
        <v>0</v>
      </c>
      <c r="BA23" s="464">
        <v>42583</v>
      </c>
      <c r="BB23" s="482">
        <f t="shared" si="15"/>
        <v>0.08</v>
      </c>
      <c r="BC23" s="483">
        <f>+tabellen!$D$44</f>
        <v>6.3E-2</v>
      </c>
      <c r="BD23" s="481">
        <f>IF('wgl tot'!AY23=100,0,'wgl tot'!F23)</f>
        <v>0</v>
      </c>
      <c r="BE23" s="483" t="str">
        <f>IF(OR('wgl tot'!F23="DA",'wgl tot'!F23="DB",'wgl tot'!F23="DBuit",'wgl tot'!F23="DC",'wgl tot'!F23="DCuit",MID('wgl tot'!F23,1,5)="meerh"),"j","n")</f>
        <v>n</v>
      </c>
      <c r="BF23" s="485" t="e">
        <f>IF('wgl tot'!U23/'wgl tot'!H23&lt;tabellen!$E$6,0,(+'wgl tot'!U23-tabellen!$E$6*'wgl tot'!H23)/12*tabellen!$D$6)</f>
        <v>#DIV/0!</v>
      </c>
      <c r="BG23" s="485" t="e">
        <f>IF('wgl tot'!U23/'wgl tot'!H23&lt;tabellen!$E$7,0,(+'wgl tot'!U23-tabellen!$E$7*'wgl tot'!H23)/12*tabellen!$D$7)</f>
        <v>#DIV/0!</v>
      </c>
      <c r="BH23" s="485">
        <f>'wgl tot'!U23/12*tabellen!$D$8</f>
        <v>0</v>
      </c>
      <c r="BI23" s="486" t="e">
        <f t="shared" si="6"/>
        <v>#DIV/0!</v>
      </c>
      <c r="BJ23" s="487" t="e">
        <f>+(U23+V23)/12-'wgl tot'!BI23</f>
        <v>#DIV/0!</v>
      </c>
      <c r="BK23" s="487" t="e">
        <f>ROUND(IF('wgl tot'!BJ23&gt;tabellen!$H$11,tabellen!$H$11,'wgl tot'!BJ23)*tabellen!$C$11,2)</f>
        <v>#DIV/0!</v>
      </c>
      <c r="BL23" s="487" t="e">
        <f>+'wgl tot'!BJ23+'wgl tot'!BK23</f>
        <v>#DIV/0!</v>
      </c>
      <c r="BM23" s="488">
        <f t="shared" si="7"/>
        <v>1900</v>
      </c>
      <c r="BN23" s="488">
        <f t="shared" si="8"/>
        <v>1</v>
      </c>
      <c r="BO23" s="481">
        <f t="shared" si="9"/>
        <v>0</v>
      </c>
      <c r="BP23" s="464">
        <f t="shared" si="13"/>
        <v>22462</v>
      </c>
      <c r="BQ23" s="464">
        <f t="shared" ca="1" si="14"/>
        <v>43364.939215393519</v>
      </c>
      <c r="BR23" s="445"/>
      <c r="BS23" s="464"/>
      <c r="BT23" s="445"/>
      <c r="BU23" s="484"/>
      <c r="BV23" s="484"/>
      <c r="BW23" s="484"/>
      <c r="BX23" s="484"/>
      <c r="BY23" s="484"/>
      <c r="BZ23" s="484"/>
      <c r="CA23" s="436"/>
      <c r="CB23" s="436"/>
    </row>
    <row r="24" spans="1:80" s="447" customFormat="1" ht="12" customHeight="1" x14ac:dyDescent="0.2">
      <c r="A24" s="436"/>
      <c r="B24" s="437"/>
      <c r="C24" s="467"/>
      <c r="D24" s="473"/>
      <c r="E24" s="474"/>
      <c r="F24" s="475"/>
      <c r="G24" s="475"/>
      <c r="H24" s="476"/>
      <c r="I24" s="475"/>
      <c r="J24" s="477"/>
      <c r="K24" s="497">
        <f>IF(F24="",0,(VLOOKUP('wgl tot'!F24,saltab2019,'wgl tot'!G24+1,FALSE)))</f>
        <v>0</v>
      </c>
      <c r="L24" s="479">
        <f t="shared" si="0"/>
        <v>0</v>
      </c>
      <c r="M24" s="467"/>
      <c r="N24" s="497">
        <f>ROUND(IF(('wgl tot'!L24+'wgl tot'!P24)*BB24&lt;'wgl tot'!H24*tabellen!$D$43,'wgl tot'!H24*tabellen!$D$43,('wgl tot'!L24+'wgl tot'!P24)*BB24),2)</f>
        <v>0</v>
      </c>
      <c r="O24" s="497">
        <f>ROUND(+('wgl tot'!L24+'wgl tot'!P24)*BC24,2)</f>
        <v>0</v>
      </c>
      <c r="P24" s="497">
        <f>ROUND(IF(I24="j",VLOOKUP(AZ24,uitlooptoeslag,2,FALSE))*IF('wgl tot'!H24&gt;1,1,'wgl tot'!H24),2)</f>
        <v>0</v>
      </c>
      <c r="Q24" s="497">
        <f>ROUND(IF(BE24="j",tabellen!$D$52*IF('wgl tot'!H24&gt;1,1,'wgl tot'!H24),0),2)</f>
        <v>0</v>
      </c>
      <c r="R24" s="497">
        <f>IF(AND(F24&gt;0,F24&lt;17),tabellen!$C$37*'wgl tot'!H24,0)</f>
        <v>0</v>
      </c>
      <c r="S24" s="497">
        <f>VLOOKUP(BD24,eindejaarsuitkering_OOP,2,TRUE)*'wgl tot'!H24/12</f>
        <v>0</v>
      </c>
      <c r="T24" s="497">
        <f>ROUND('wgl tot'!H24*tabellen!$D$50,2)</f>
        <v>0</v>
      </c>
      <c r="U24" s="498">
        <f t="shared" si="1"/>
        <v>0</v>
      </c>
      <c r="V24" s="497">
        <f>('wgl tot'!L24+'wgl tot'!P24)*tabellen!$C$39*12</f>
        <v>0</v>
      </c>
      <c r="W24" s="479">
        <f t="shared" si="10"/>
        <v>0</v>
      </c>
      <c r="X24" s="467"/>
      <c r="Y24" s="498">
        <f t="shared" si="11"/>
        <v>0</v>
      </c>
      <c r="Z24" s="674">
        <f>+'wgl tot'!V24/12</f>
        <v>0</v>
      </c>
      <c r="AA24" s="467"/>
      <c r="AB24" s="497">
        <f>IF(F24="",0,(IF('wgl tot'!U24/'wgl tot'!H24&lt;tabellen!$E$6,0,('wgl tot'!U24-tabellen!$E$6*'wgl tot'!H24)/12)*tabellen!$C$6))</f>
        <v>0</v>
      </c>
      <c r="AC24" s="497">
        <f>IF(F24="",0,(IF('wgl tot'!U24/'wgl tot'!H24&lt;tabellen!$E$7,0,(+'wgl tot'!U24-tabellen!$E$7*'wgl tot'!H24)/12)*tabellen!$C$7))</f>
        <v>0</v>
      </c>
      <c r="AD24" s="497">
        <f>'wgl tot'!U24/12*tabellen!$C$8</f>
        <v>0</v>
      </c>
      <c r="AE24" s="497">
        <f>IF(H24=0,0,IF(BJ24&gt;tabellen!$G$9/12,tabellen!$G$9/12,BJ24)*(tabellen!$C$9+tabellen!$C$10))</f>
        <v>0</v>
      </c>
      <c r="AF24" s="497">
        <f>IF(F24="",0,('wgl tot'!BK24))</f>
        <v>0</v>
      </c>
      <c r="AG24" s="499">
        <f>IF(F24="",0,(IF('wgl tot'!BJ24&gt;tabellen!$G$12*'wgl tot'!H24/12,tabellen!$G$12*'wgl tot'!H24/12,'wgl tot'!BJ24)*tabellen!$C$12))</f>
        <v>0</v>
      </c>
      <c r="AH24" s="467"/>
      <c r="AI24" s="499">
        <f>IF(F24="",0,('wgl tot'!BJ24*IF(J24=1,tabellen!$C$13,IF(J24=2,tabellen!$C$14,IF(J24=3,tabellen!$C$15,tabellen!$C$16)))))</f>
        <v>0</v>
      </c>
      <c r="AJ24" s="499">
        <f>IF(F24="",0,('wgl tot'!BJ24*tabellen!$C$17))</f>
        <v>0</v>
      </c>
      <c r="AK24" s="679">
        <v>0</v>
      </c>
      <c r="AL24" s="467"/>
      <c r="AM24" s="479">
        <f t="shared" si="2"/>
        <v>0</v>
      </c>
      <c r="AN24" s="479">
        <f t="shared" si="12"/>
        <v>0</v>
      </c>
      <c r="AO24" s="467"/>
      <c r="AP24" s="503" t="str">
        <f t="shared" si="3"/>
        <v/>
      </c>
      <c r="AQ24" s="503" t="str">
        <f t="shared" si="4"/>
        <v/>
      </c>
      <c r="AR24" s="467"/>
      <c r="AS24" s="444"/>
      <c r="AT24" s="436"/>
      <c r="AU24" s="436"/>
      <c r="AV24" s="481">
        <f ca="1">YEAR('wgl tot'!$AV$9)-YEAR('wgl tot'!E24)</f>
        <v>118</v>
      </c>
      <c r="AW24" s="481">
        <f ca="1">MONTH('wgl tot'!$AV$9)-MONTH('wgl tot'!E24)</f>
        <v>8</v>
      </c>
      <c r="AX24" s="481">
        <f ca="1">DAY('wgl tot'!$AV$9)-DAY('wgl tot'!E24)</f>
        <v>21</v>
      </c>
      <c r="AY24" s="445">
        <f>IF(AND('wgl tot'!F24&gt;0,'wgl tot'!F24&lt;17),0,100)</f>
        <v>100</v>
      </c>
      <c r="AZ24" s="445">
        <f t="shared" si="5"/>
        <v>0</v>
      </c>
      <c r="BA24" s="464">
        <v>42583</v>
      </c>
      <c r="BB24" s="482">
        <f t="shared" si="15"/>
        <v>0.08</v>
      </c>
      <c r="BC24" s="483">
        <f>+tabellen!$D$44</f>
        <v>6.3E-2</v>
      </c>
      <c r="BD24" s="481">
        <f>IF('wgl tot'!AY24=100,0,'wgl tot'!F24)</f>
        <v>0</v>
      </c>
      <c r="BE24" s="483" t="str">
        <f>IF(OR('wgl tot'!F24="DA",'wgl tot'!F24="DB",'wgl tot'!F24="DBuit",'wgl tot'!F24="DC",'wgl tot'!F24="DCuit",MID('wgl tot'!F24,1,5)="meerh"),"j","n")</f>
        <v>n</v>
      </c>
      <c r="BF24" s="485" t="e">
        <f>IF('wgl tot'!U24/'wgl tot'!H24&lt;tabellen!$E$6,0,(+'wgl tot'!U24-tabellen!$E$6*'wgl tot'!H24)/12*tabellen!$D$6)</f>
        <v>#DIV/0!</v>
      </c>
      <c r="BG24" s="485" t="e">
        <f>IF('wgl tot'!U24/'wgl tot'!H24&lt;tabellen!$E$7,0,(+'wgl tot'!U24-tabellen!$E$7*'wgl tot'!H24)/12*tabellen!$D$7)</f>
        <v>#DIV/0!</v>
      </c>
      <c r="BH24" s="485">
        <f>'wgl tot'!U24/12*tabellen!$D$8</f>
        <v>0</v>
      </c>
      <c r="BI24" s="486" t="e">
        <f t="shared" si="6"/>
        <v>#DIV/0!</v>
      </c>
      <c r="BJ24" s="487" t="e">
        <f>+(U24+V24)/12-'wgl tot'!BI24</f>
        <v>#DIV/0!</v>
      </c>
      <c r="BK24" s="487" t="e">
        <f>ROUND(IF('wgl tot'!BJ24&gt;tabellen!$H$11,tabellen!$H$11,'wgl tot'!BJ24)*tabellen!$C$11,2)</f>
        <v>#DIV/0!</v>
      </c>
      <c r="BL24" s="487" t="e">
        <f>+'wgl tot'!BJ24+'wgl tot'!BK24</f>
        <v>#DIV/0!</v>
      </c>
      <c r="BM24" s="488">
        <f t="shared" si="7"/>
        <v>1900</v>
      </c>
      <c r="BN24" s="488">
        <f t="shared" si="8"/>
        <v>1</v>
      </c>
      <c r="BO24" s="481">
        <f t="shared" si="9"/>
        <v>0</v>
      </c>
      <c r="BP24" s="464">
        <f t="shared" si="13"/>
        <v>22462</v>
      </c>
      <c r="BQ24" s="464">
        <f t="shared" ca="1" si="14"/>
        <v>43364.939215393519</v>
      </c>
      <c r="BR24" s="445"/>
      <c r="BS24" s="464"/>
      <c r="BT24" s="445"/>
      <c r="BU24" s="484"/>
      <c r="BV24" s="484"/>
      <c r="BW24" s="484"/>
      <c r="BX24" s="484"/>
      <c r="BY24" s="484"/>
      <c r="BZ24" s="484"/>
      <c r="CA24" s="436"/>
      <c r="CB24" s="436"/>
    </row>
    <row r="25" spans="1:80" s="447" customFormat="1" ht="12" customHeight="1" x14ac:dyDescent="0.2">
      <c r="A25" s="436"/>
      <c r="B25" s="437"/>
      <c r="C25" s="467"/>
      <c r="D25" s="473"/>
      <c r="E25" s="474"/>
      <c r="F25" s="475"/>
      <c r="G25" s="475"/>
      <c r="H25" s="476"/>
      <c r="I25" s="475"/>
      <c r="J25" s="477"/>
      <c r="K25" s="497">
        <f>IF(F25="",0,(VLOOKUP('wgl tot'!F25,saltab2019,'wgl tot'!G25+1,FALSE)))</f>
        <v>0</v>
      </c>
      <c r="L25" s="479">
        <f t="shared" si="0"/>
        <v>0</v>
      </c>
      <c r="M25" s="467"/>
      <c r="N25" s="497">
        <f>ROUND(IF(('wgl tot'!L25+'wgl tot'!P25)*BB25&lt;'wgl tot'!H25*tabellen!$D$43,'wgl tot'!H25*tabellen!$D$43,('wgl tot'!L25+'wgl tot'!P25)*BB25),2)</f>
        <v>0</v>
      </c>
      <c r="O25" s="497">
        <f>ROUND(+('wgl tot'!L25+'wgl tot'!P25)*BC25,2)</f>
        <v>0</v>
      </c>
      <c r="P25" s="497">
        <f>ROUND(IF(I25="j",VLOOKUP(AZ25,uitlooptoeslag,2,FALSE))*IF('wgl tot'!H25&gt;1,1,'wgl tot'!H25),2)</f>
        <v>0</v>
      </c>
      <c r="Q25" s="497">
        <f>ROUND(IF(BE25="j",tabellen!$D$52*IF('wgl tot'!H25&gt;1,1,'wgl tot'!H25),0),2)</f>
        <v>0</v>
      </c>
      <c r="R25" s="497">
        <f>IF(AND(F25&gt;0,F25&lt;17),tabellen!$C$37*'wgl tot'!H25,0)</f>
        <v>0</v>
      </c>
      <c r="S25" s="497">
        <f>VLOOKUP(BD25,eindejaarsuitkering_OOP,2,TRUE)*'wgl tot'!H25/12</f>
        <v>0</v>
      </c>
      <c r="T25" s="497">
        <f>ROUND('wgl tot'!H25*tabellen!$D$50,2)</f>
        <v>0</v>
      </c>
      <c r="U25" s="498">
        <f t="shared" si="1"/>
        <v>0</v>
      </c>
      <c r="V25" s="497">
        <f>('wgl tot'!L25+'wgl tot'!P25)*tabellen!$C$39*12</f>
        <v>0</v>
      </c>
      <c r="W25" s="479">
        <f t="shared" si="10"/>
        <v>0</v>
      </c>
      <c r="X25" s="467"/>
      <c r="Y25" s="498">
        <f t="shared" si="11"/>
        <v>0</v>
      </c>
      <c r="Z25" s="674">
        <f>+'wgl tot'!V25/12</f>
        <v>0</v>
      </c>
      <c r="AA25" s="467"/>
      <c r="AB25" s="497">
        <f>IF(F25="",0,(IF('wgl tot'!U25/'wgl tot'!H25&lt;tabellen!$E$6,0,('wgl tot'!U25-tabellen!$E$6*'wgl tot'!H25)/12)*tabellen!$C$6))</f>
        <v>0</v>
      </c>
      <c r="AC25" s="497">
        <f>IF(F25="",0,(IF('wgl tot'!U25/'wgl tot'!H25&lt;tabellen!$E$7,0,(+'wgl tot'!U25-tabellen!$E$7*'wgl tot'!H25)/12)*tabellen!$C$7))</f>
        <v>0</v>
      </c>
      <c r="AD25" s="497">
        <f>'wgl tot'!U25/12*tabellen!$C$8</f>
        <v>0</v>
      </c>
      <c r="AE25" s="497">
        <f>IF(H25=0,0,IF(BJ25&gt;tabellen!$G$9/12,tabellen!$G$9/12,BJ25)*(tabellen!$C$9+tabellen!$C$10))</f>
        <v>0</v>
      </c>
      <c r="AF25" s="497">
        <f>IF(F25="",0,('wgl tot'!BK25))</f>
        <v>0</v>
      </c>
      <c r="AG25" s="499">
        <f>IF(F25="",0,(IF('wgl tot'!BJ25&gt;tabellen!$G$12*'wgl tot'!H25/12,tabellen!$G$12*'wgl tot'!H25/12,'wgl tot'!BJ25)*tabellen!$C$12))</f>
        <v>0</v>
      </c>
      <c r="AH25" s="467"/>
      <c r="AI25" s="499">
        <f>IF(F25="",0,('wgl tot'!BJ25*IF(J25=1,tabellen!$C$13,IF(J25=2,tabellen!$C$14,IF(J25=3,tabellen!$C$15,tabellen!$C$16)))))</f>
        <v>0</v>
      </c>
      <c r="AJ25" s="499">
        <f>IF(F25="",0,('wgl tot'!BJ25*tabellen!$C$17))</f>
        <v>0</v>
      </c>
      <c r="AK25" s="679">
        <v>0</v>
      </c>
      <c r="AL25" s="467"/>
      <c r="AM25" s="479">
        <f t="shared" si="2"/>
        <v>0</v>
      </c>
      <c r="AN25" s="479">
        <f t="shared" si="12"/>
        <v>0</v>
      </c>
      <c r="AO25" s="467"/>
      <c r="AP25" s="503" t="str">
        <f t="shared" si="3"/>
        <v/>
      </c>
      <c r="AQ25" s="503" t="str">
        <f t="shared" si="4"/>
        <v/>
      </c>
      <c r="AR25" s="467"/>
      <c r="AS25" s="444"/>
      <c r="AT25" s="436"/>
      <c r="AU25" s="436"/>
      <c r="AV25" s="481">
        <f ca="1">YEAR('wgl tot'!$AV$9)-YEAR('wgl tot'!E25)</f>
        <v>118</v>
      </c>
      <c r="AW25" s="481">
        <f ca="1">MONTH('wgl tot'!$AV$9)-MONTH('wgl tot'!E25)</f>
        <v>8</v>
      </c>
      <c r="AX25" s="481">
        <f ca="1">DAY('wgl tot'!$AV$9)-DAY('wgl tot'!E25)</f>
        <v>21</v>
      </c>
      <c r="AY25" s="445">
        <f>IF(AND('wgl tot'!F25&gt;0,'wgl tot'!F25&lt;17),0,100)</f>
        <v>100</v>
      </c>
      <c r="AZ25" s="445">
        <f t="shared" si="5"/>
        <v>0</v>
      </c>
      <c r="BA25" s="464">
        <v>42583</v>
      </c>
      <c r="BB25" s="482">
        <f t="shared" si="15"/>
        <v>0.08</v>
      </c>
      <c r="BC25" s="483">
        <f>+tabellen!$D$44</f>
        <v>6.3E-2</v>
      </c>
      <c r="BD25" s="481">
        <f>IF('wgl tot'!AY25=100,0,'wgl tot'!F25)</f>
        <v>0</v>
      </c>
      <c r="BE25" s="483" t="str">
        <f>IF(OR('wgl tot'!F25="DA",'wgl tot'!F25="DB",'wgl tot'!F25="DBuit",'wgl tot'!F25="DC",'wgl tot'!F25="DCuit",MID('wgl tot'!F25,1,5)="meerh"),"j","n")</f>
        <v>n</v>
      </c>
      <c r="BF25" s="485" t="e">
        <f>IF('wgl tot'!U25/'wgl tot'!H25&lt;tabellen!$E$6,0,(+'wgl tot'!U25-tabellen!$E$6*'wgl tot'!H25)/12*tabellen!$D$6)</f>
        <v>#DIV/0!</v>
      </c>
      <c r="BG25" s="485" t="e">
        <f>IF('wgl tot'!U25/'wgl tot'!H25&lt;tabellen!$E$7,0,(+'wgl tot'!U25-tabellen!$E$7*'wgl tot'!H25)/12*tabellen!$D$7)</f>
        <v>#DIV/0!</v>
      </c>
      <c r="BH25" s="485">
        <f>'wgl tot'!U25/12*tabellen!$D$8</f>
        <v>0</v>
      </c>
      <c r="BI25" s="486" t="e">
        <f t="shared" ref="BI25:BI86" si="16">SUM(BF25:BH25)</f>
        <v>#DIV/0!</v>
      </c>
      <c r="BJ25" s="487" t="e">
        <f>+(U25+V25)/12-'wgl tot'!BI25</f>
        <v>#DIV/0!</v>
      </c>
      <c r="BK25" s="487" t="e">
        <f>ROUND(IF('wgl tot'!BJ25&gt;tabellen!$H$11,tabellen!$H$11,'wgl tot'!BJ25)*tabellen!$C$11,2)</f>
        <v>#DIV/0!</v>
      </c>
      <c r="BL25" s="487" t="e">
        <f>+'wgl tot'!BJ25+'wgl tot'!BK25</f>
        <v>#DIV/0!</v>
      </c>
      <c r="BM25" s="488">
        <f t="shared" si="7"/>
        <v>1900</v>
      </c>
      <c r="BN25" s="488">
        <f t="shared" si="8"/>
        <v>1</v>
      </c>
      <c r="BO25" s="481">
        <f t="shared" si="9"/>
        <v>0</v>
      </c>
      <c r="BP25" s="464">
        <f t="shared" si="13"/>
        <v>22462</v>
      </c>
      <c r="BQ25" s="464">
        <f t="shared" ca="1" si="14"/>
        <v>43364.939215393519</v>
      </c>
      <c r="BR25" s="445"/>
      <c r="BS25" s="464"/>
      <c r="BT25" s="445"/>
      <c r="BU25" s="484"/>
      <c r="BV25" s="484"/>
      <c r="BW25" s="484"/>
      <c r="BX25" s="484"/>
      <c r="BY25" s="484"/>
      <c r="BZ25" s="484"/>
      <c r="CA25" s="436"/>
      <c r="CB25" s="436"/>
    </row>
    <row r="26" spans="1:80" s="447" customFormat="1" ht="12" customHeight="1" x14ac:dyDescent="0.2">
      <c r="A26" s="436"/>
      <c r="B26" s="437"/>
      <c r="C26" s="467"/>
      <c r="D26" s="473"/>
      <c r="E26" s="474"/>
      <c r="F26" s="475"/>
      <c r="G26" s="475"/>
      <c r="H26" s="476"/>
      <c r="I26" s="475"/>
      <c r="J26" s="477"/>
      <c r="K26" s="497">
        <f>IF(F26="",0,(VLOOKUP('wgl tot'!F26,saltab2019,'wgl tot'!G26+1,FALSE)))</f>
        <v>0</v>
      </c>
      <c r="L26" s="479">
        <f t="shared" si="0"/>
        <v>0</v>
      </c>
      <c r="M26" s="467"/>
      <c r="N26" s="497">
        <f>ROUND(IF(('wgl tot'!L26+'wgl tot'!P26)*BB26&lt;'wgl tot'!H26*tabellen!$D$43,'wgl tot'!H26*tabellen!$D$43,('wgl tot'!L26+'wgl tot'!P26)*BB26),2)</f>
        <v>0</v>
      </c>
      <c r="O26" s="497">
        <f>ROUND(+('wgl tot'!L26+'wgl tot'!P26)*BC26,2)</f>
        <v>0</v>
      </c>
      <c r="P26" s="497">
        <f>ROUND(IF(I26="j",VLOOKUP(AZ26,uitlooptoeslag,2,FALSE))*IF('wgl tot'!H26&gt;1,1,'wgl tot'!H26),2)</f>
        <v>0</v>
      </c>
      <c r="Q26" s="497">
        <f>ROUND(IF(BE26="j",tabellen!$D$52*IF('wgl tot'!H26&gt;1,1,'wgl tot'!H26),0),2)</f>
        <v>0</v>
      </c>
      <c r="R26" s="497">
        <f>IF(AND(F26&gt;0,F26&lt;17),tabellen!$C$37*'wgl tot'!H26,0)</f>
        <v>0</v>
      </c>
      <c r="S26" s="497">
        <f>VLOOKUP(BD26,eindejaarsuitkering_OOP,2,TRUE)*'wgl tot'!H26/12</f>
        <v>0</v>
      </c>
      <c r="T26" s="497">
        <f>ROUND('wgl tot'!H26*tabellen!$D$50,2)</f>
        <v>0</v>
      </c>
      <c r="U26" s="498">
        <f t="shared" si="1"/>
        <v>0</v>
      </c>
      <c r="V26" s="497">
        <f>('wgl tot'!L26+'wgl tot'!P26)*tabellen!$C$39*12</f>
        <v>0</v>
      </c>
      <c r="W26" s="479">
        <f t="shared" si="10"/>
        <v>0</v>
      </c>
      <c r="X26" s="467"/>
      <c r="Y26" s="498">
        <f t="shared" si="11"/>
        <v>0</v>
      </c>
      <c r="Z26" s="674">
        <f>+'wgl tot'!V26/12</f>
        <v>0</v>
      </c>
      <c r="AA26" s="467"/>
      <c r="AB26" s="497">
        <f>IF(F26="",0,(IF('wgl tot'!U26/'wgl tot'!H26&lt;tabellen!$E$6,0,('wgl tot'!U26-tabellen!$E$6*'wgl tot'!H26)/12)*tabellen!$C$6))</f>
        <v>0</v>
      </c>
      <c r="AC26" s="497">
        <f>IF(F26="",0,(IF('wgl tot'!U26/'wgl tot'!H26&lt;tabellen!$E$7,0,(+'wgl tot'!U26-tabellen!$E$7*'wgl tot'!H26)/12)*tabellen!$C$7))</f>
        <v>0</v>
      </c>
      <c r="AD26" s="497">
        <f>'wgl tot'!U26/12*tabellen!$C$8</f>
        <v>0</v>
      </c>
      <c r="AE26" s="497">
        <f>IF(H26=0,0,IF(BJ26&gt;tabellen!$G$9/12,tabellen!$G$9/12,BJ26)*(tabellen!$C$9+tabellen!$C$10))</f>
        <v>0</v>
      </c>
      <c r="AF26" s="497">
        <f>IF(F26="",0,('wgl tot'!BK26))</f>
        <v>0</v>
      </c>
      <c r="AG26" s="499">
        <f>IF(F26="",0,(IF('wgl tot'!BJ26&gt;tabellen!$G$12*'wgl tot'!H26/12,tabellen!$G$12*'wgl tot'!H26/12,'wgl tot'!BJ26)*tabellen!$C$12))</f>
        <v>0</v>
      </c>
      <c r="AH26" s="467"/>
      <c r="AI26" s="499">
        <f>IF(F26="",0,('wgl tot'!BJ26*IF(J26=1,tabellen!$C$13,IF(J26=2,tabellen!$C$14,IF(J26=3,tabellen!$C$15,tabellen!$C$16)))))</f>
        <v>0</v>
      </c>
      <c r="AJ26" s="499">
        <f>IF(F26="",0,('wgl tot'!BJ26*tabellen!$C$17))</f>
        <v>0</v>
      </c>
      <c r="AK26" s="679">
        <v>0</v>
      </c>
      <c r="AL26" s="467"/>
      <c r="AM26" s="479">
        <f t="shared" si="2"/>
        <v>0</v>
      </c>
      <c r="AN26" s="479">
        <f t="shared" si="12"/>
        <v>0</v>
      </c>
      <c r="AO26" s="467"/>
      <c r="AP26" s="503" t="str">
        <f t="shared" si="3"/>
        <v/>
      </c>
      <c r="AQ26" s="503" t="str">
        <f t="shared" si="4"/>
        <v/>
      </c>
      <c r="AR26" s="467"/>
      <c r="AS26" s="444"/>
      <c r="AT26" s="436"/>
      <c r="AU26" s="436"/>
      <c r="AV26" s="481">
        <f ca="1">YEAR('wgl tot'!$AV$9)-YEAR('wgl tot'!E26)</f>
        <v>118</v>
      </c>
      <c r="AW26" s="481">
        <f ca="1">MONTH('wgl tot'!$AV$9)-MONTH('wgl tot'!E26)</f>
        <v>8</v>
      </c>
      <c r="AX26" s="481">
        <f ca="1">DAY('wgl tot'!$AV$9)-DAY('wgl tot'!E26)</f>
        <v>21</v>
      </c>
      <c r="AY26" s="445">
        <f>IF(AND('wgl tot'!F26&gt;0,'wgl tot'!F26&lt;17),0,100)</f>
        <v>100</v>
      </c>
      <c r="AZ26" s="445">
        <f t="shared" si="5"/>
        <v>0</v>
      </c>
      <c r="BA26" s="464">
        <v>42583</v>
      </c>
      <c r="BB26" s="482">
        <f t="shared" si="15"/>
        <v>0.08</v>
      </c>
      <c r="BC26" s="483">
        <f>+tabellen!$D$44</f>
        <v>6.3E-2</v>
      </c>
      <c r="BD26" s="481">
        <f>IF('wgl tot'!AY26=100,0,'wgl tot'!F26)</f>
        <v>0</v>
      </c>
      <c r="BE26" s="483" t="str">
        <f>IF(OR('wgl tot'!F26="DA",'wgl tot'!F26="DB",'wgl tot'!F26="DBuit",'wgl tot'!F26="DC",'wgl tot'!F26="DCuit",MID('wgl tot'!F26,1,5)="meerh"),"j","n")</f>
        <v>n</v>
      </c>
      <c r="BF26" s="485" t="e">
        <f>IF('wgl tot'!U26/'wgl tot'!H26&lt;tabellen!$E$6,0,(+'wgl tot'!U26-tabellen!$E$6*'wgl tot'!H26)/12*tabellen!$D$6)</f>
        <v>#DIV/0!</v>
      </c>
      <c r="BG26" s="485" t="e">
        <f>IF('wgl tot'!U26/'wgl tot'!H26&lt;tabellen!$E$7,0,(+'wgl tot'!U26-tabellen!$E$7*'wgl tot'!H26)/12*tabellen!$D$7)</f>
        <v>#DIV/0!</v>
      </c>
      <c r="BH26" s="485">
        <f>'wgl tot'!U26/12*tabellen!$D$8</f>
        <v>0</v>
      </c>
      <c r="BI26" s="486" t="e">
        <f t="shared" si="16"/>
        <v>#DIV/0!</v>
      </c>
      <c r="BJ26" s="487" t="e">
        <f>+(U26+V26)/12-'wgl tot'!BI26</f>
        <v>#DIV/0!</v>
      </c>
      <c r="BK26" s="487" t="e">
        <f>ROUND(IF('wgl tot'!BJ26&gt;tabellen!$H$11,tabellen!$H$11,'wgl tot'!BJ26)*tabellen!$C$11,2)</f>
        <v>#DIV/0!</v>
      </c>
      <c r="BL26" s="487" t="e">
        <f>+'wgl tot'!BJ26+'wgl tot'!BK26</f>
        <v>#DIV/0!</v>
      </c>
      <c r="BM26" s="488">
        <f t="shared" si="7"/>
        <v>1900</v>
      </c>
      <c r="BN26" s="488">
        <f t="shared" si="8"/>
        <v>1</v>
      </c>
      <c r="BO26" s="481">
        <f t="shared" si="9"/>
        <v>0</v>
      </c>
      <c r="BP26" s="464">
        <f t="shared" si="13"/>
        <v>22462</v>
      </c>
      <c r="BQ26" s="464">
        <f t="shared" ca="1" si="14"/>
        <v>43364.939215393519</v>
      </c>
      <c r="BR26" s="445"/>
      <c r="BS26" s="464"/>
      <c r="BT26" s="445"/>
      <c r="BU26" s="484"/>
      <c r="BV26" s="484"/>
      <c r="BW26" s="484"/>
      <c r="BX26" s="484"/>
      <c r="BY26" s="484"/>
      <c r="BZ26" s="484"/>
      <c r="CA26" s="436"/>
      <c r="CB26" s="436"/>
    </row>
    <row r="27" spans="1:80" s="447" customFormat="1" ht="12" customHeight="1" x14ac:dyDescent="0.2">
      <c r="A27" s="436"/>
      <c r="B27" s="437"/>
      <c r="C27" s="467"/>
      <c r="D27" s="473"/>
      <c r="E27" s="474"/>
      <c r="F27" s="475"/>
      <c r="G27" s="475"/>
      <c r="H27" s="476"/>
      <c r="I27" s="475"/>
      <c r="J27" s="477"/>
      <c r="K27" s="497">
        <f>IF(F27="",0,(VLOOKUP('wgl tot'!F27,saltab2019,'wgl tot'!G27+1,FALSE)))</f>
        <v>0</v>
      </c>
      <c r="L27" s="479">
        <f t="shared" si="0"/>
        <v>0</v>
      </c>
      <c r="M27" s="467"/>
      <c r="N27" s="497">
        <f>ROUND(IF(('wgl tot'!L27+'wgl tot'!P27)*BB27&lt;'wgl tot'!H27*tabellen!$D$43,'wgl tot'!H27*tabellen!$D$43,('wgl tot'!L27+'wgl tot'!P27)*BB27),2)</f>
        <v>0</v>
      </c>
      <c r="O27" s="497">
        <f>ROUND(+('wgl tot'!L27+'wgl tot'!P27)*BC27,2)</f>
        <v>0</v>
      </c>
      <c r="P27" s="497">
        <f>ROUND(IF(I27="j",VLOOKUP(AZ27,uitlooptoeslag,2,FALSE))*IF('wgl tot'!H27&gt;1,1,'wgl tot'!H27),2)</f>
        <v>0</v>
      </c>
      <c r="Q27" s="497">
        <f>ROUND(IF(BE27="j",tabellen!$D$52*IF('wgl tot'!H27&gt;1,1,'wgl tot'!H27),0),2)</f>
        <v>0</v>
      </c>
      <c r="R27" s="497">
        <f>IF(AND(F27&gt;0,F27&lt;17),tabellen!$C$37*'wgl tot'!H27,0)</f>
        <v>0</v>
      </c>
      <c r="S27" s="497">
        <f>VLOOKUP(BD27,eindejaarsuitkering_OOP,2,TRUE)*'wgl tot'!H27/12</f>
        <v>0</v>
      </c>
      <c r="T27" s="497">
        <f>ROUND('wgl tot'!H27*tabellen!$D$50,2)</f>
        <v>0</v>
      </c>
      <c r="U27" s="498">
        <f t="shared" si="1"/>
        <v>0</v>
      </c>
      <c r="V27" s="497">
        <f>('wgl tot'!L27+'wgl tot'!P27)*tabellen!$C$39*12</f>
        <v>0</v>
      </c>
      <c r="W27" s="479">
        <f t="shared" si="10"/>
        <v>0</v>
      </c>
      <c r="X27" s="467"/>
      <c r="Y27" s="498">
        <f t="shared" si="11"/>
        <v>0</v>
      </c>
      <c r="Z27" s="674">
        <f>+'wgl tot'!V27/12</f>
        <v>0</v>
      </c>
      <c r="AA27" s="467"/>
      <c r="AB27" s="497">
        <f>IF(F27="",0,(IF('wgl tot'!U27/'wgl tot'!H27&lt;tabellen!$E$6,0,('wgl tot'!U27-tabellen!$E$6*'wgl tot'!H27)/12)*tabellen!$C$6))</f>
        <v>0</v>
      </c>
      <c r="AC27" s="497">
        <f>IF(F27="",0,(IF('wgl tot'!U27/'wgl tot'!H27&lt;tabellen!$E$7,0,(+'wgl tot'!U27-tabellen!$E$7*'wgl tot'!H27)/12)*tabellen!$C$7))</f>
        <v>0</v>
      </c>
      <c r="AD27" s="497">
        <f>'wgl tot'!U27/12*tabellen!$C$8</f>
        <v>0</v>
      </c>
      <c r="AE27" s="497">
        <f>IF(H27=0,0,IF(BJ27&gt;tabellen!$G$9/12,tabellen!$G$9/12,BJ27)*(tabellen!$C$9+tabellen!$C$10))</f>
        <v>0</v>
      </c>
      <c r="AF27" s="497">
        <f>IF(F27="",0,('wgl tot'!BK27))</f>
        <v>0</v>
      </c>
      <c r="AG27" s="499">
        <f>IF(F27="",0,(IF('wgl tot'!BJ27&gt;tabellen!$G$12*'wgl tot'!H27/12,tabellen!$G$12*'wgl tot'!H27/12,'wgl tot'!BJ27)*tabellen!$C$12))</f>
        <v>0</v>
      </c>
      <c r="AH27" s="467"/>
      <c r="AI27" s="499">
        <f>IF(F27="",0,('wgl tot'!BJ27*IF(J27=1,tabellen!$C$13,IF(J27=2,tabellen!$C$14,IF(J27=3,tabellen!$C$15,tabellen!$C$16)))))</f>
        <v>0</v>
      </c>
      <c r="AJ27" s="499">
        <f>IF(F27="",0,('wgl tot'!BJ27*tabellen!$C$17))</f>
        <v>0</v>
      </c>
      <c r="AK27" s="679">
        <v>0</v>
      </c>
      <c r="AL27" s="467"/>
      <c r="AM27" s="479">
        <f t="shared" si="2"/>
        <v>0</v>
      </c>
      <c r="AN27" s="479">
        <f t="shared" si="12"/>
        <v>0</v>
      </c>
      <c r="AO27" s="467"/>
      <c r="AP27" s="503" t="str">
        <f t="shared" si="3"/>
        <v/>
      </c>
      <c r="AQ27" s="503" t="str">
        <f t="shared" si="4"/>
        <v/>
      </c>
      <c r="AR27" s="467"/>
      <c r="AS27" s="444"/>
      <c r="AT27" s="436"/>
      <c r="AU27" s="436"/>
      <c r="AV27" s="481">
        <f ca="1">YEAR('wgl tot'!$AV$9)-YEAR('wgl tot'!E27)</f>
        <v>118</v>
      </c>
      <c r="AW27" s="481">
        <f ca="1">MONTH('wgl tot'!$AV$9)-MONTH('wgl tot'!E27)</f>
        <v>8</v>
      </c>
      <c r="AX27" s="481">
        <f ca="1">DAY('wgl tot'!$AV$9)-DAY('wgl tot'!E27)</f>
        <v>21</v>
      </c>
      <c r="AY27" s="445">
        <f>IF(AND('wgl tot'!F27&gt;0,'wgl tot'!F27&lt;17),0,100)</f>
        <v>100</v>
      </c>
      <c r="AZ27" s="445">
        <f t="shared" si="5"/>
        <v>0</v>
      </c>
      <c r="BA27" s="464">
        <v>42583</v>
      </c>
      <c r="BB27" s="482">
        <f t="shared" si="15"/>
        <v>0.08</v>
      </c>
      <c r="BC27" s="483">
        <f>+tabellen!$D$44</f>
        <v>6.3E-2</v>
      </c>
      <c r="BD27" s="481">
        <f>IF('wgl tot'!AY27=100,0,'wgl tot'!F27)</f>
        <v>0</v>
      </c>
      <c r="BE27" s="483" t="str">
        <f>IF(OR('wgl tot'!F27="DA",'wgl tot'!F27="DB",'wgl tot'!F27="DBuit",'wgl tot'!F27="DC",'wgl tot'!F27="DCuit",MID('wgl tot'!F27,1,5)="meerh"),"j","n")</f>
        <v>n</v>
      </c>
      <c r="BF27" s="485" t="e">
        <f>IF('wgl tot'!U27/'wgl tot'!H27&lt;tabellen!$E$6,0,(+'wgl tot'!U27-tabellen!$E$6*'wgl tot'!H27)/12*tabellen!$D$6)</f>
        <v>#DIV/0!</v>
      </c>
      <c r="BG27" s="485" t="e">
        <f>IF('wgl tot'!U27/'wgl tot'!H27&lt;tabellen!$E$7,0,(+'wgl tot'!U27-tabellen!$E$7*'wgl tot'!H27)/12*tabellen!$D$7)</f>
        <v>#DIV/0!</v>
      </c>
      <c r="BH27" s="485">
        <f>'wgl tot'!U27/12*tabellen!$D$8</f>
        <v>0</v>
      </c>
      <c r="BI27" s="486" t="e">
        <f t="shared" si="16"/>
        <v>#DIV/0!</v>
      </c>
      <c r="BJ27" s="487" t="e">
        <f>+(U27+V27)/12-'wgl tot'!BI27</f>
        <v>#DIV/0!</v>
      </c>
      <c r="BK27" s="487" t="e">
        <f>ROUND(IF('wgl tot'!BJ27&gt;tabellen!$H$11,tabellen!$H$11,'wgl tot'!BJ27)*tabellen!$C$11,2)</f>
        <v>#DIV/0!</v>
      </c>
      <c r="BL27" s="487" t="e">
        <f>+'wgl tot'!BJ27+'wgl tot'!BK27</f>
        <v>#DIV/0!</v>
      </c>
      <c r="BM27" s="488">
        <f t="shared" si="7"/>
        <v>1900</v>
      </c>
      <c r="BN27" s="488">
        <f t="shared" si="8"/>
        <v>1</v>
      </c>
      <c r="BO27" s="481">
        <f t="shared" si="9"/>
        <v>0</v>
      </c>
      <c r="BP27" s="464">
        <f t="shared" si="13"/>
        <v>22462</v>
      </c>
      <c r="BQ27" s="464">
        <f t="shared" ca="1" si="14"/>
        <v>43364.939215393519</v>
      </c>
      <c r="BR27" s="445"/>
      <c r="BS27" s="464"/>
      <c r="BT27" s="445"/>
      <c r="BU27" s="484"/>
      <c r="BV27" s="484"/>
      <c r="BW27" s="484"/>
      <c r="BX27" s="484"/>
      <c r="BY27" s="484"/>
      <c r="BZ27" s="484"/>
      <c r="CA27" s="436"/>
      <c r="CB27" s="436"/>
    </row>
    <row r="28" spans="1:80" s="447" customFormat="1" ht="12" customHeight="1" x14ac:dyDescent="0.2">
      <c r="A28" s="436"/>
      <c r="B28" s="437"/>
      <c r="C28" s="467"/>
      <c r="D28" s="473"/>
      <c r="E28" s="474"/>
      <c r="F28" s="475"/>
      <c r="G28" s="475"/>
      <c r="H28" s="476"/>
      <c r="I28" s="475"/>
      <c r="J28" s="477"/>
      <c r="K28" s="497">
        <f>IF(F28="",0,(VLOOKUP('wgl tot'!F28,saltab2019,'wgl tot'!G28+1,FALSE)))</f>
        <v>0</v>
      </c>
      <c r="L28" s="479">
        <f t="shared" si="0"/>
        <v>0</v>
      </c>
      <c r="M28" s="467"/>
      <c r="N28" s="497">
        <f>ROUND(IF(('wgl tot'!L28+'wgl tot'!P28)*BB28&lt;'wgl tot'!H28*tabellen!$D$43,'wgl tot'!H28*tabellen!$D$43,('wgl tot'!L28+'wgl tot'!P28)*BB28),2)</f>
        <v>0</v>
      </c>
      <c r="O28" s="497">
        <f>ROUND(+('wgl tot'!L28+'wgl tot'!P28)*BC28,2)</f>
        <v>0</v>
      </c>
      <c r="P28" s="497">
        <f>ROUND(IF(I28="j",VLOOKUP(AZ28,uitlooptoeslag,2,FALSE))*IF('wgl tot'!H28&gt;1,1,'wgl tot'!H28),2)</f>
        <v>0</v>
      </c>
      <c r="Q28" s="497">
        <f>ROUND(IF(BE28="j",tabellen!$D$52*IF('wgl tot'!H28&gt;1,1,'wgl tot'!H28),0),2)</f>
        <v>0</v>
      </c>
      <c r="R28" s="497">
        <f>IF(AND(F28&gt;0,F28&lt;17),tabellen!$C$37*'wgl tot'!H28,0)</f>
        <v>0</v>
      </c>
      <c r="S28" s="497">
        <f>VLOOKUP(BD28,eindejaarsuitkering_OOP,2,TRUE)*'wgl tot'!H28/12</f>
        <v>0</v>
      </c>
      <c r="T28" s="497">
        <f>ROUND('wgl tot'!H28*tabellen!$D$50,2)</f>
        <v>0</v>
      </c>
      <c r="U28" s="498">
        <f t="shared" si="1"/>
        <v>0</v>
      </c>
      <c r="V28" s="497">
        <f>('wgl tot'!L28+'wgl tot'!P28)*tabellen!$C$39*12</f>
        <v>0</v>
      </c>
      <c r="W28" s="479">
        <f t="shared" si="10"/>
        <v>0</v>
      </c>
      <c r="X28" s="467"/>
      <c r="Y28" s="498">
        <f t="shared" si="11"/>
        <v>0</v>
      </c>
      <c r="Z28" s="674">
        <f>+'wgl tot'!V28/12</f>
        <v>0</v>
      </c>
      <c r="AA28" s="467"/>
      <c r="AB28" s="497">
        <f>IF(F28="",0,(IF('wgl tot'!U28/'wgl tot'!H28&lt;tabellen!$E$6,0,('wgl tot'!U28-tabellen!$E$6*'wgl tot'!H28)/12)*tabellen!$C$6))</f>
        <v>0</v>
      </c>
      <c r="AC28" s="497">
        <f>IF(F28="",0,(IF('wgl tot'!U28/'wgl tot'!H28&lt;tabellen!$E$7,0,(+'wgl tot'!U28-tabellen!$E$7*'wgl tot'!H28)/12)*tabellen!$C$7))</f>
        <v>0</v>
      </c>
      <c r="AD28" s="497">
        <f>'wgl tot'!U28/12*tabellen!$C$8</f>
        <v>0</v>
      </c>
      <c r="AE28" s="497">
        <f>IF(H28=0,0,IF(BJ28&gt;tabellen!$G$9/12,tabellen!$G$9/12,BJ28)*(tabellen!$C$9+tabellen!$C$10))</f>
        <v>0</v>
      </c>
      <c r="AF28" s="497">
        <f>IF(F28="",0,('wgl tot'!BK28))</f>
        <v>0</v>
      </c>
      <c r="AG28" s="499">
        <f>IF(F28="",0,(IF('wgl tot'!BJ28&gt;tabellen!$G$12*'wgl tot'!H28/12,tabellen!$G$12*'wgl tot'!H28/12,'wgl tot'!BJ28)*tabellen!$C$12))</f>
        <v>0</v>
      </c>
      <c r="AH28" s="467"/>
      <c r="AI28" s="499">
        <f>IF(F28="",0,('wgl tot'!BJ28*IF(J28=1,tabellen!$C$13,IF(J28=2,tabellen!$C$14,IF(J28=3,tabellen!$C$15,tabellen!$C$16)))))</f>
        <v>0</v>
      </c>
      <c r="AJ28" s="499">
        <f>IF(F28="",0,('wgl tot'!BJ28*tabellen!$C$17))</f>
        <v>0</v>
      </c>
      <c r="AK28" s="679">
        <v>0</v>
      </c>
      <c r="AL28" s="467"/>
      <c r="AM28" s="479">
        <f t="shared" si="2"/>
        <v>0</v>
      </c>
      <c r="AN28" s="479">
        <f t="shared" si="12"/>
        <v>0</v>
      </c>
      <c r="AO28" s="467"/>
      <c r="AP28" s="503" t="str">
        <f t="shared" si="3"/>
        <v/>
      </c>
      <c r="AQ28" s="503" t="str">
        <f t="shared" si="4"/>
        <v/>
      </c>
      <c r="AR28" s="467"/>
      <c r="AS28" s="444"/>
      <c r="AT28" s="436"/>
      <c r="AU28" s="436"/>
      <c r="AV28" s="481">
        <f ca="1">YEAR('wgl tot'!$AV$9)-YEAR('wgl tot'!E28)</f>
        <v>118</v>
      </c>
      <c r="AW28" s="481">
        <f ca="1">MONTH('wgl tot'!$AV$9)-MONTH('wgl tot'!E28)</f>
        <v>8</v>
      </c>
      <c r="AX28" s="481">
        <f ca="1">DAY('wgl tot'!$AV$9)-DAY('wgl tot'!E28)</f>
        <v>21</v>
      </c>
      <c r="AY28" s="445">
        <f>IF(AND('wgl tot'!F28&gt;0,'wgl tot'!F28&lt;17),0,100)</f>
        <v>100</v>
      </c>
      <c r="AZ28" s="445">
        <f t="shared" si="5"/>
        <v>0</v>
      </c>
      <c r="BA28" s="464">
        <v>42583</v>
      </c>
      <c r="BB28" s="482">
        <f t="shared" si="15"/>
        <v>0.08</v>
      </c>
      <c r="BC28" s="483">
        <f>+tabellen!$D$44</f>
        <v>6.3E-2</v>
      </c>
      <c r="BD28" s="481">
        <f>IF('wgl tot'!AY28=100,0,'wgl tot'!F28)</f>
        <v>0</v>
      </c>
      <c r="BE28" s="483" t="str">
        <f>IF(OR('wgl tot'!F28="DA",'wgl tot'!F28="DB",'wgl tot'!F28="DBuit",'wgl tot'!F28="DC",'wgl tot'!F28="DCuit",MID('wgl tot'!F28,1,5)="meerh"),"j","n")</f>
        <v>n</v>
      </c>
      <c r="BF28" s="485" t="e">
        <f>IF('wgl tot'!U28/'wgl tot'!H28&lt;tabellen!$E$6,0,(+'wgl tot'!U28-tabellen!$E$6*'wgl tot'!H28)/12*tabellen!$D$6)</f>
        <v>#DIV/0!</v>
      </c>
      <c r="BG28" s="485" t="e">
        <f>IF('wgl tot'!U28/'wgl tot'!H28&lt;tabellen!$E$7,0,(+'wgl tot'!U28-tabellen!$E$7*'wgl tot'!H28)/12*tabellen!$D$7)</f>
        <v>#DIV/0!</v>
      </c>
      <c r="BH28" s="485">
        <f>'wgl tot'!U28/12*tabellen!$D$8</f>
        <v>0</v>
      </c>
      <c r="BI28" s="486" t="e">
        <f t="shared" si="16"/>
        <v>#DIV/0!</v>
      </c>
      <c r="BJ28" s="487" t="e">
        <f>+(U28+V28)/12-'wgl tot'!BI28</f>
        <v>#DIV/0!</v>
      </c>
      <c r="BK28" s="487" t="e">
        <f>ROUND(IF('wgl tot'!BJ28&gt;tabellen!$H$11,tabellen!$H$11,'wgl tot'!BJ28)*tabellen!$C$11,2)</f>
        <v>#DIV/0!</v>
      </c>
      <c r="BL28" s="487" t="e">
        <f>+'wgl tot'!BJ28+'wgl tot'!BK28</f>
        <v>#DIV/0!</v>
      </c>
      <c r="BM28" s="488">
        <f t="shared" si="7"/>
        <v>1900</v>
      </c>
      <c r="BN28" s="488">
        <f t="shared" si="8"/>
        <v>1</v>
      </c>
      <c r="BO28" s="481">
        <f t="shared" si="9"/>
        <v>0</v>
      </c>
      <c r="BP28" s="464">
        <f t="shared" si="13"/>
        <v>22462</v>
      </c>
      <c r="BQ28" s="464">
        <f t="shared" ca="1" si="14"/>
        <v>43364.939215393519</v>
      </c>
      <c r="BR28" s="445"/>
      <c r="BS28" s="464"/>
      <c r="BT28" s="445"/>
      <c r="BU28" s="484"/>
      <c r="BV28" s="484"/>
      <c r="BW28" s="484"/>
      <c r="BX28" s="484"/>
      <c r="BY28" s="484"/>
      <c r="BZ28" s="484"/>
      <c r="CA28" s="436"/>
      <c r="CB28" s="436"/>
    </row>
    <row r="29" spans="1:80" s="447" customFormat="1" ht="12" customHeight="1" x14ac:dyDescent="0.2">
      <c r="A29" s="436"/>
      <c r="B29" s="437"/>
      <c r="C29" s="467"/>
      <c r="D29" s="473"/>
      <c r="E29" s="474"/>
      <c r="F29" s="475"/>
      <c r="G29" s="475"/>
      <c r="H29" s="476"/>
      <c r="I29" s="475"/>
      <c r="J29" s="477"/>
      <c r="K29" s="497">
        <f>IF(F29="",0,(VLOOKUP('wgl tot'!F29,saltab2019,'wgl tot'!G29+1,FALSE)))</f>
        <v>0</v>
      </c>
      <c r="L29" s="479">
        <f t="shared" si="0"/>
        <v>0</v>
      </c>
      <c r="M29" s="467"/>
      <c r="N29" s="497">
        <f>ROUND(IF(('wgl tot'!L29+'wgl tot'!P29)*BB29&lt;'wgl tot'!H29*tabellen!$D$43,'wgl tot'!H29*tabellen!$D$43,('wgl tot'!L29+'wgl tot'!P29)*BB29),2)</f>
        <v>0</v>
      </c>
      <c r="O29" s="497">
        <f>ROUND(+('wgl tot'!L29+'wgl tot'!P29)*BC29,2)</f>
        <v>0</v>
      </c>
      <c r="P29" s="497">
        <f>ROUND(IF(I29="j",VLOOKUP(AZ29,uitlooptoeslag,2,FALSE))*IF('wgl tot'!H29&gt;1,1,'wgl tot'!H29),2)</f>
        <v>0</v>
      </c>
      <c r="Q29" s="497">
        <f>ROUND(IF(BE29="j",tabellen!$D$52*IF('wgl tot'!H29&gt;1,1,'wgl tot'!H29),0),2)</f>
        <v>0</v>
      </c>
      <c r="R29" s="497">
        <f>IF(AND(F29&gt;0,F29&lt;17),tabellen!$C$37*'wgl tot'!H29,0)</f>
        <v>0</v>
      </c>
      <c r="S29" s="497">
        <f>VLOOKUP(BD29,eindejaarsuitkering_OOP,2,TRUE)*'wgl tot'!H29/12</f>
        <v>0</v>
      </c>
      <c r="T29" s="497">
        <f>ROUND('wgl tot'!H29*tabellen!$D$50,2)</f>
        <v>0</v>
      </c>
      <c r="U29" s="498">
        <f t="shared" si="1"/>
        <v>0</v>
      </c>
      <c r="V29" s="497">
        <f>('wgl tot'!L29+'wgl tot'!P29)*tabellen!$C$39*12</f>
        <v>0</v>
      </c>
      <c r="W29" s="479">
        <f t="shared" si="10"/>
        <v>0</v>
      </c>
      <c r="X29" s="467"/>
      <c r="Y29" s="498">
        <f t="shared" si="11"/>
        <v>0</v>
      </c>
      <c r="Z29" s="674">
        <f>+'wgl tot'!V29/12</f>
        <v>0</v>
      </c>
      <c r="AA29" s="467"/>
      <c r="AB29" s="497">
        <f>IF(F29="",0,(IF('wgl tot'!U29/'wgl tot'!H29&lt;tabellen!$E$6,0,('wgl tot'!U29-tabellen!$E$6*'wgl tot'!H29)/12)*tabellen!$C$6))</f>
        <v>0</v>
      </c>
      <c r="AC29" s="497">
        <f>IF(F29="",0,(IF('wgl tot'!U29/'wgl tot'!H29&lt;tabellen!$E$7,0,(+'wgl tot'!U29-tabellen!$E$7*'wgl tot'!H29)/12)*tabellen!$C$7))</f>
        <v>0</v>
      </c>
      <c r="AD29" s="497">
        <f>'wgl tot'!U29/12*tabellen!$C$8</f>
        <v>0</v>
      </c>
      <c r="AE29" s="497">
        <f>IF(H29=0,0,IF(BJ29&gt;tabellen!$G$9/12,tabellen!$G$9/12,BJ29)*(tabellen!$C$9+tabellen!$C$10))</f>
        <v>0</v>
      </c>
      <c r="AF29" s="497">
        <f>IF(F29="",0,('wgl tot'!BK29))</f>
        <v>0</v>
      </c>
      <c r="AG29" s="499">
        <f>IF(F29="",0,(IF('wgl tot'!BJ29&gt;tabellen!$G$12*'wgl tot'!H29/12,tabellen!$G$12*'wgl tot'!H29/12,'wgl tot'!BJ29)*tabellen!$C$12))</f>
        <v>0</v>
      </c>
      <c r="AH29" s="467"/>
      <c r="AI29" s="499">
        <f>IF(F29="",0,('wgl tot'!BJ29*IF(J29=1,tabellen!$C$13,IF(J29=2,tabellen!$C$14,IF(J29=3,tabellen!$C$15,tabellen!$C$16)))))</f>
        <v>0</v>
      </c>
      <c r="AJ29" s="499">
        <f>IF(F29="",0,('wgl tot'!BJ29*tabellen!$C$17))</f>
        <v>0</v>
      </c>
      <c r="AK29" s="679">
        <v>0</v>
      </c>
      <c r="AL29" s="467"/>
      <c r="AM29" s="479">
        <f t="shared" si="2"/>
        <v>0</v>
      </c>
      <c r="AN29" s="479">
        <f t="shared" si="12"/>
        <v>0</v>
      </c>
      <c r="AO29" s="467"/>
      <c r="AP29" s="503" t="str">
        <f t="shared" si="3"/>
        <v/>
      </c>
      <c r="AQ29" s="503" t="str">
        <f t="shared" si="4"/>
        <v/>
      </c>
      <c r="AR29" s="467"/>
      <c r="AS29" s="444"/>
      <c r="AT29" s="436"/>
      <c r="AU29" s="436"/>
      <c r="AV29" s="481">
        <f ca="1">YEAR('wgl tot'!$AV$9)-YEAR('wgl tot'!E29)</f>
        <v>118</v>
      </c>
      <c r="AW29" s="481">
        <f ca="1">MONTH('wgl tot'!$AV$9)-MONTH('wgl tot'!E29)</f>
        <v>8</v>
      </c>
      <c r="AX29" s="481">
        <f ca="1">DAY('wgl tot'!$AV$9)-DAY('wgl tot'!E29)</f>
        <v>21</v>
      </c>
      <c r="AY29" s="445">
        <f>IF(AND('wgl tot'!F29&gt;0,'wgl tot'!F29&lt;17),0,100)</f>
        <v>100</v>
      </c>
      <c r="AZ29" s="445">
        <f t="shared" si="5"/>
        <v>0</v>
      </c>
      <c r="BA29" s="464">
        <v>42583</v>
      </c>
      <c r="BB29" s="482">
        <f t="shared" si="15"/>
        <v>0.08</v>
      </c>
      <c r="BC29" s="483">
        <f>+tabellen!$D$44</f>
        <v>6.3E-2</v>
      </c>
      <c r="BD29" s="481">
        <f>IF('wgl tot'!AY29=100,0,'wgl tot'!F29)</f>
        <v>0</v>
      </c>
      <c r="BE29" s="483" t="str">
        <f>IF(OR('wgl tot'!F29="DA",'wgl tot'!F29="DB",'wgl tot'!F29="DBuit",'wgl tot'!F29="DC",'wgl tot'!F29="DCuit",MID('wgl tot'!F29,1,5)="meerh"),"j","n")</f>
        <v>n</v>
      </c>
      <c r="BF29" s="485" t="e">
        <f>IF('wgl tot'!U29/'wgl tot'!H29&lt;tabellen!$E$6,0,(+'wgl tot'!U29-tabellen!$E$6*'wgl tot'!H29)/12*tabellen!$D$6)</f>
        <v>#DIV/0!</v>
      </c>
      <c r="BG29" s="485" t="e">
        <f>IF('wgl tot'!U29/'wgl tot'!H29&lt;tabellen!$E$7,0,(+'wgl tot'!U29-tabellen!$E$7*'wgl tot'!H29)/12*tabellen!$D$7)</f>
        <v>#DIV/0!</v>
      </c>
      <c r="BH29" s="485">
        <f>'wgl tot'!U29/12*tabellen!$D$8</f>
        <v>0</v>
      </c>
      <c r="BI29" s="486" t="e">
        <f t="shared" si="16"/>
        <v>#DIV/0!</v>
      </c>
      <c r="BJ29" s="487" t="e">
        <f>+(U29+V29)/12-'wgl tot'!BI29</f>
        <v>#DIV/0!</v>
      </c>
      <c r="BK29" s="487" t="e">
        <f>ROUND(IF('wgl tot'!BJ29&gt;tabellen!$H$11,tabellen!$H$11,'wgl tot'!BJ29)*tabellen!$C$11,2)</f>
        <v>#DIV/0!</v>
      </c>
      <c r="BL29" s="487" t="e">
        <f>+'wgl tot'!BJ29+'wgl tot'!BK29</f>
        <v>#DIV/0!</v>
      </c>
      <c r="BM29" s="488">
        <f t="shared" si="7"/>
        <v>1900</v>
      </c>
      <c r="BN29" s="488">
        <f t="shared" si="8"/>
        <v>1</v>
      </c>
      <c r="BO29" s="481">
        <f t="shared" si="9"/>
        <v>0</v>
      </c>
      <c r="BP29" s="464">
        <f t="shared" si="13"/>
        <v>22462</v>
      </c>
      <c r="BQ29" s="464">
        <f t="shared" ca="1" si="14"/>
        <v>43364.939215393519</v>
      </c>
      <c r="BR29" s="445"/>
      <c r="BS29" s="464"/>
      <c r="BT29" s="445"/>
      <c r="BU29" s="484"/>
      <c r="BV29" s="484"/>
      <c r="BW29" s="484"/>
      <c r="BX29" s="484"/>
      <c r="BY29" s="484"/>
      <c r="BZ29" s="484"/>
      <c r="CA29" s="436"/>
      <c r="CB29" s="436"/>
    </row>
    <row r="30" spans="1:80" s="447" customFormat="1" ht="12" customHeight="1" x14ac:dyDescent="0.2">
      <c r="A30" s="436"/>
      <c r="B30" s="437"/>
      <c r="C30" s="467"/>
      <c r="D30" s="473"/>
      <c r="E30" s="474"/>
      <c r="F30" s="475"/>
      <c r="G30" s="475"/>
      <c r="H30" s="476"/>
      <c r="I30" s="475"/>
      <c r="J30" s="477"/>
      <c r="K30" s="497">
        <f>IF(F30="",0,(VLOOKUP('wgl tot'!F30,saltab2019,'wgl tot'!G30+1,FALSE)))</f>
        <v>0</v>
      </c>
      <c r="L30" s="479">
        <f t="shared" si="0"/>
        <v>0</v>
      </c>
      <c r="M30" s="467"/>
      <c r="N30" s="497">
        <f>ROUND(IF(('wgl tot'!L30+'wgl tot'!P30)*BB30&lt;'wgl tot'!H30*tabellen!$D$43,'wgl tot'!H30*tabellen!$D$43,('wgl tot'!L30+'wgl tot'!P30)*BB30),2)</f>
        <v>0</v>
      </c>
      <c r="O30" s="497">
        <f>ROUND(+('wgl tot'!L30+'wgl tot'!P30)*BC30,2)</f>
        <v>0</v>
      </c>
      <c r="P30" s="497">
        <f>ROUND(IF(I30="j",VLOOKUP(AZ30,uitlooptoeslag,2,FALSE))*IF('wgl tot'!H30&gt;1,1,'wgl tot'!H30),2)</f>
        <v>0</v>
      </c>
      <c r="Q30" s="497">
        <f>ROUND(IF(BE30="j",tabellen!$D$52*IF('wgl tot'!H30&gt;1,1,'wgl tot'!H30),0),2)</f>
        <v>0</v>
      </c>
      <c r="R30" s="497">
        <f>IF(AND(F30&gt;0,F30&lt;17),tabellen!$C$37*'wgl tot'!H30,0)</f>
        <v>0</v>
      </c>
      <c r="S30" s="497">
        <f>VLOOKUP(BD30,eindejaarsuitkering_OOP,2,TRUE)*'wgl tot'!H30/12</f>
        <v>0</v>
      </c>
      <c r="T30" s="497">
        <f>ROUND('wgl tot'!H30*tabellen!$D$50,2)</f>
        <v>0</v>
      </c>
      <c r="U30" s="498">
        <f t="shared" si="1"/>
        <v>0</v>
      </c>
      <c r="V30" s="497">
        <f>('wgl tot'!L30+'wgl tot'!P30)*tabellen!$C$39*12</f>
        <v>0</v>
      </c>
      <c r="W30" s="479">
        <f t="shared" si="10"/>
        <v>0</v>
      </c>
      <c r="X30" s="467"/>
      <c r="Y30" s="498">
        <f t="shared" si="11"/>
        <v>0</v>
      </c>
      <c r="Z30" s="674">
        <f>+'wgl tot'!V30/12</f>
        <v>0</v>
      </c>
      <c r="AA30" s="467"/>
      <c r="AB30" s="497">
        <f>IF(F30="",0,(IF('wgl tot'!U30/'wgl tot'!H30&lt;tabellen!$E$6,0,('wgl tot'!U30-tabellen!$E$6*'wgl tot'!H30)/12)*tabellen!$C$6))</f>
        <v>0</v>
      </c>
      <c r="AC30" s="497">
        <f>IF(F30="",0,(IF('wgl tot'!U30/'wgl tot'!H30&lt;tabellen!$E$7,0,(+'wgl tot'!U30-tabellen!$E$7*'wgl tot'!H30)/12)*tabellen!$C$7))</f>
        <v>0</v>
      </c>
      <c r="AD30" s="497">
        <f>'wgl tot'!U30/12*tabellen!$C$8</f>
        <v>0</v>
      </c>
      <c r="AE30" s="497">
        <f>IF(H30=0,0,IF(BJ30&gt;tabellen!$G$9/12,tabellen!$G$9/12,BJ30)*(tabellen!$C$9+tabellen!$C$10))</f>
        <v>0</v>
      </c>
      <c r="AF30" s="497">
        <f>IF(F30="",0,('wgl tot'!BK30))</f>
        <v>0</v>
      </c>
      <c r="AG30" s="499">
        <f>IF(F30="",0,(IF('wgl tot'!BJ30&gt;tabellen!$G$12*'wgl tot'!H30/12,tabellen!$G$12*'wgl tot'!H30/12,'wgl tot'!BJ30)*tabellen!$C$12))</f>
        <v>0</v>
      </c>
      <c r="AH30" s="467"/>
      <c r="AI30" s="499">
        <f>IF(F30="",0,('wgl tot'!BJ30*IF(J30=1,tabellen!$C$13,IF(J30=2,tabellen!$C$14,IF(J30=3,tabellen!$C$15,tabellen!$C$16)))))</f>
        <v>0</v>
      </c>
      <c r="AJ30" s="499">
        <f>IF(F30="",0,('wgl tot'!BJ30*tabellen!$C$17))</f>
        <v>0</v>
      </c>
      <c r="AK30" s="679">
        <v>0</v>
      </c>
      <c r="AL30" s="467"/>
      <c r="AM30" s="479">
        <f t="shared" si="2"/>
        <v>0</v>
      </c>
      <c r="AN30" s="479">
        <f t="shared" si="12"/>
        <v>0</v>
      </c>
      <c r="AO30" s="467"/>
      <c r="AP30" s="503" t="str">
        <f t="shared" si="3"/>
        <v/>
      </c>
      <c r="AQ30" s="503" t="str">
        <f t="shared" si="4"/>
        <v/>
      </c>
      <c r="AR30" s="467"/>
      <c r="AS30" s="444"/>
      <c r="AT30" s="436"/>
      <c r="AU30" s="436"/>
      <c r="AV30" s="481">
        <f ca="1">YEAR('wgl tot'!$AV$9)-YEAR('wgl tot'!E30)</f>
        <v>118</v>
      </c>
      <c r="AW30" s="481">
        <f ca="1">MONTH('wgl tot'!$AV$9)-MONTH('wgl tot'!E30)</f>
        <v>8</v>
      </c>
      <c r="AX30" s="481">
        <f ca="1">DAY('wgl tot'!$AV$9)-DAY('wgl tot'!E30)</f>
        <v>21</v>
      </c>
      <c r="AY30" s="445">
        <f>IF(AND('wgl tot'!F30&gt;0,'wgl tot'!F30&lt;17),0,100)</f>
        <v>100</v>
      </c>
      <c r="AZ30" s="445">
        <f t="shared" si="5"/>
        <v>0</v>
      </c>
      <c r="BA30" s="464">
        <v>42583</v>
      </c>
      <c r="BB30" s="482">
        <f t="shared" si="15"/>
        <v>0.08</v>
      </c>
      <c r="BC30" s="483">
        <f>+tabellen!$D$44</f>
        <v>6.3E-2</v>
      </c>
      <c r="BD30" s="481">
        <f>IF('wgl tot'!AY30=100,0,'wgl tot'!F30)</f>
        <v>0</v>
      </c>
      <c r="BE30" s="483" t="str">
        <f>IF(OR('wgl tot'!F30="DA",'wgl tot'!F30="DB",'wgl tot'!F30="DBuit",'wgl tot'!F30="DC",'wgl tot'!F30="DCuit",MID('wgl tot'!F30,1,5)="meerh"),"j","n")</f>
        <v>n</v>
      </c>
      <c r="BF30" s="485" t="e">
        <f>IF('wgl tot'!U30/'wgl tot'!H30&lt;tabellen!$E$6,0,(+'wgl tot'!U30-tabellen!$E$6*'wgl tot'!H30)/12*tabellen!$D$6)</f>
        <v>#DIV/0!</v>
      </c>
      <c r="BG30" s="485" t="e">
        <f>IF('wgl tot'!U30/'wgl tot'!H30&lt;tabellen!$E$7,0,(+'wgl tot'!U30-tabellen!$E$7*'wgl tot'!H30)/12*tabellen!$D$7)</f>
        <v>#DIV/0!</v>
      </c>
      <c r="BH30" s="485">
        <f>'wgl tot'!U30/12*tabellen!$D$8</f>
        <v>0</v>
      </c>
      <c r="BI30" s="486" t="e">
        <f t="shared" si="16"/>
        <v>#DIV/0!</v>
      </c>
      <c r="BJ30" s="487" t="e">
        <f>+(U30+V30)/12-'wgl tot'!BI30</f>
        <v>#DIV/0!</v>
      </c>
      <c r="BK30" s="487" t="e">
        <f>ROUND(IF('wgl tot'!BJ30&gt;tabellen!$H$11,tabellen!$H$11,'wgl tot'!BJ30)*tabellen!$C$11,2)</f>
        <v>#DIV/0!</v>
      </c>
      <c r="BL30" s="487" t="e">
        <f>+'wgl tot'!BJ30+'wgl tot'!BK30</f>
        <v>#DIV/0!</v>
      </c>
      <c r="BM30" s="488">
        <f t="shared" si="7"/>
        <v>1900</v>
      </c>
      <c r="BN30" s="488">
        <f t="shared" si="8"/>
        <v>1</v>
      </c>
      <c r="BO30" s="481">
        <f t="shared" si="9"/>
        <v>0</v>
      </c>
      <c r="BP30" s="464">
        <f t="shared" si="13"/>
        <v>22462</v>
      </c>
      <c r="BQ30" s="464">
        <f t="shared" ca="1" si="14"/>
        <v>43364.939215393519</v>
      </c>
      <c r="BR30" s="445"/>
      <c r="BS30" s="464"/>
      <c r="BT30" s="445"/>
      <c r="BU30" s="484"/>
      <c r="BV30" s="484"/>
      <c r="BW30" s="484"/>
      <c r="BX30" s="484"/>
      <c r="BY30" s="484"/>
      <c r="BZ30" s="484"/>
      <c r="CA30" s="436"/>
      <c r="CB30" s="436"/>
    </row>
    <row r="31" spans="1:80" s="447" customFormat="1" ht="12" customHeight="1" x14ac:dyDescent="0.2">
      <c r="A31" s="436"/>
      <c r="B31" s="437"/>
      <c r="C31" s="467"/>
      <c r="D31" s="473"/>
      <c r="E31" s="474"/>
      <c r="F31" s="475"/>
      <c r="G31" s="475"/>
      <c r="H31" s="476"/>
      <c r="I31" s="475"/>
      <c r="J31" s="477"/>
      <c r="K31" s="497">
        <f>IF(F31="",0,(VLOOKUP('wgl tot'!F31,saltab2019,'wgl tot'!G31+1,FALSE)))</f>
        <v>0</v>
      </c>
      <c r="L31" s="479">
        <f t="shared" si="0"/>
        <v>0</v>
      </c>
      <c r="M31" s="467"/>
      <c r="N31" s="497">
        <f>ROUND(IF(('wgl tot'!L31+'wgl tot'!P31)*BB31&lt;'wgl tot'!H31*tabellen!$D$43,'wgl tot'!H31*tabellen!$D$43,('wgl tot'!L31+'wgl tot'!P31)*BB31),2)</f>
        <v>0</v>
      </c>
      <c r="O31" s="497">
        <f>ROUND(+('wgl tot'!L31+'wgl tot'!P31)*BC31,2)</f>
        <v>0</v>
      </c>
      <c r="P31" s="497">
        <f>ROUND(IF(I31="j",VLOOKUP(AZ31,uitlooptoeslag,2,FALSE))*IF('wgl tot'!H31&gt;1,1,'wgl tot'!H31),2)</f>
        <v>0</v>
      </c>
      <c r="Q31" s="497">
        <f>ROUND(IF(BE31="j",tabellen!$D$52*IF('wgl tot'!H31&gt;1,1,'wgl tot'!H31),0),2)</f>
        <v>0</v>
      </c>
      <c r="R31" s="497">
        <f>IF(AND(F31&gt;0,F31&lt;17),tabellen!$C$37*'wgl tot'!H31,0)</f>
        <v>0</v>
      </c>
      <c r="S31" s="497">
        <f>VLOOKUP(BD31,eindejaarsuitkering_OOP,2,TRUE)*'wgl tot'!H31/12</f>
        <v>0</v>
      </c>
      <c r="T31" s="497">
        <f>ROUND('wgl tot'!H31*tabellen!$D$50,2)</f>
        <v>0</v>
      </c>
      <c r="U31" s="498">
        <f t="shared" si="1"/>
        <v>0</v>
      </c>
      <c r="V31" s="497">
        <f>('wgl tot'!L31+'wgl tot'!P31)*tabellen!$C$39*12</f>
        <v>0</v>
      </c>
      <c r="W31" s="479">
        <f t="shared" si="10"/>
        <v>0</v>
      </c>
      <c r="X31" s="467"/>
      <c r="Y31" s="498">
        <f t="shared" si="11"/>
        <v>0</v>
      </c>
      <c r="Z31" s="674">
        <f>+'wgl tot'!V31/12</f>
        <v>0</v>
      </c>
      <c r="AA31" s="467"/>
      <c r="AB31" s="497">
        <f>IF(F31="",0,(IF('wgl tot'!U31/'wgl tot'!H31&lt;tabellen!$E$6,0,('wgl tot'!U31-tabellen!$E$6*'wgl tot'!H31)/12)*tabellen!$C$6))</f>
        <v>0</v>
      </c>
      <c r="AC31" s="497">
        <f>IF(F31="",0,(IF('wgl tot'!U31/'wgl tot'!H31&lt;tabellen!$E$7,0,(+'wgl tot'!U31-tabellen!$E$7*'wgl tot'!H31)/12)*tabellen!$C$7))</f>
        <v>0</v>
      </c>
      <c r="AD31" s="497">
        <f>'wgl tot'!U31/12*tabellen!$C$8</f>
        <v>0</v>
      </c>
      <c r="AE31" s="497">
        <f>IF(H31=0,0,IF(BJ31&gt;tabellen!$G$9/12,tabellen!$G$9/12,BJ31)*(tabellen!$C$9+tabellen!$C$10))</f>
        <v>0</v>
      </c>
      <c r="AF31" s="497">
        <f>IF(F31="",0,('wgl tot'!BK31))</f>
        <v>0</v>
      </c>
      <c r="AG31" s="499">
        <f>IF(F31="",0,(IF('wgl tot'!BJ31&gt;tabellen!$G$12*'wgl tot'!H31/12,tabellen!$G$12*'wgl tot'!H31/12,'wgl tot'!BJ31)*tabellen!$C$12))</f>
        <v>0</v>
      </c>
      <c r="AH31" s="467"/>
      <c r="AI31" s="499">
        <f>IF(F31="",0,('wgl tot'!BJ31*IF(J31=1,tabellen!$C$13,IF(J31=2,tabellen!$C$14,IF(J31=3,tabellen!$C$15,tabellen!$C$16)))))</f>
        <v>0</v>
      </c>
      <c r="AJ31" s="499">
        <f>IF(F31="",0,('wgl tot'!BJ31*tabellen!$C$17))</f>
        <v>0</v>
      </c>
      <c r="AK31" s="679">
        <v>0</v>
      </c>
      <c r="AL31" s="467"/>
      <c r="AM31" s="479">
        <f t="shared" si="2"/>
        <v>0</v>
      </c>
      <c r="AN31" s="479">
        <f t="shared" si="12"/>
        <v>0</v>
      </c>
      <c r="AO31" s="467"/>
      <c r="AP31" s="503" t="str">
        <f t="shared" si="3"/>
        <v/>
      </c>
      <c r="AQ31" s="503" t="str">
        <f t="shared" si="4"/>
        <v/>
      </c>
      <c r="AR31" s="467"/>
      <c r="AS31" s="444"/>
      <c r="AT31" s="436"/>
      <c r="AU31" s="436"/>
      <c r="AV31" s="481">
        <f ca="1">YEAR('wgl tot'!$AV$9)-YEAR('wgl tot'!E31)</f>
        <v>118</v>
      </c>
      <c r="AW31" s="481">
        <f ca="1">MONTH('wgl tot'!$AV$9)-MONTH('wgl tot'!E31)</f>
        <v>8</v>
      </c>
      <c r="AX31" s="481">
        <f ca="1">DAY('wgl tot'!$AV$9)-DAY('wgl tot'!E31)</f>
        <v>21</v>
      </c>
      <c r="AY31" s="445">
        <f>IF(AND('wgl tot'!F31&gt;0,'wgl tot'!F31&lt;17),0,100)</f>
        <v>100</v>
      </c>
      <c r="AZ31" s="445">
        <f t="shared" si="5"/>
        <v>0</v>
      </c>
      <c r="BA31" s="464">
        <v>42583</v>
      </c>
      <c r="BB31" s="482">
        <f t="shared" si="15"/>
        <v>0.08</v>
      </c>
      <c r="BC31" s="483">
        <f>+tabellen!$D$44</f>
        <v>6.3E-2</v>
      </c>
      <c r="BD31" s="481">
        <f>IF('wgl tot'!AY31=100,0,'wgl tot'!F31)</f>
        <v>0</v>
      </c>
      <c r="BE31" s="483" t="str">
        <f>IF(OR('wgl tot'!F31="DA",'wgl tot'!F31="DB",'wgl tot'!F31="DBuit",'wgl tot'!F31="DC",'wgl tot'!F31="DCuit",MID('wgl tot'!F31,1,5)="meerh"),"j","n")</f>
        <v>n</v>
      </c>
      <c r="BF31" s="485" t="e">
        <f>IF('wgl tot'!U31/'wgl tot'!H31&lt;tabellen!$E$6,0,(+'wgl tot'!U31-tabellen!$E$6*'wgl tot'!H31)/12*tabellen!$D$6)</f>
        <v>#DIV/0!</v>
      </c>
      <c r="BG31" s="485" t="e">
        <f>IF('wgl tot'!U31/'wgl tot'!H31&lt;tabellen!$E$7,0,(+'wgl tot'!U31-tabellen!$E$7*'wgl tot'!H31)/12*tabellen!$D$7)</f>
        <v>#DIV/0!</v>
      </c>
      <c r="BH31" s="485">
        <f>'wgl tot'!U31/12*tabellen!$D$8</f>
        <v>0</v>
      </c>
      <c r="BI31" s="486" t="e">
        <f t="shared" si="16"/>
        <v>#DIV/0!</v>
      </c>
      <c r="BJ31" s="487" t="e">
        <f>+(U31+V31)/12-'wgl tot'!BI31</f>
        <v>#DIV/0!</v>
      </c>
      <c r="BK31" s="487" t="e">
        <f>ROUND(IF('wgl tot'!BJ31&gt;tabellen!$H$11,tabellen!$H$11,'wgl tot'!BJ31)*tabellen!$C$11,2)</f>
        <v>#DIV/0!</v>
      </c>
      <c r="BL31" s="487" t="e">
        <f>+'wgl tot'!BJ31+'wgl tot'!BK31</f>
        <v>#DIV/0!</v>
      </c>
      <c r="BM31" s="488">
        <f t="shared" si="7"/>
        <v>1900</v>
      </c>
      <c r="BN31" s="488">
        <f t="shared" si="8"/>
        <v>1</v>
      </c>
      <c r="BO31" s="481">
        <f t="shared" si="9"/>
        <v>0</v>
      </c>
      <c r="BP31" s="464">
        <f t="shared" si="13"/>
        <v>22462</v>
      </c>
      <c r="BQ31" s="464">
        <f t="shared" ca="1" si="14"/>
        <v>43364.939215393519</v>
      </c>
      <c r="BR31" s="445"/>
      <c r="BS31" s="464"/>
      <c r="BT31" s="445"/>
      <c r="BU31" s="484"/>
      <c r="BV31" s="484"/>
      <c r="BW31" s="484"/>
      <c r="BX31" s="484"/>
      <c r="BY31" s="484"/>
      <c r="BZ31" s="484"/>
      <c r="CA31" s="436"/>
      <c r="CB31" s="436"/>
    </row>
    <row r="32" spans="1:80" s="447" customFormat="1" ht="12" customHeight="1" x14ac:dyDescent="0.2">
      <c r="A32" s="436"/>
      <c r="B32" s="437"/>
      <c r="C32" s="467"/>
      <c r="D32" s="473"/>
      <c r="E32" s="474"/>
      <c r="F32" s="475"/>
      <c r="G32" s="475"/>
      <c r="H32" s="476"/>
      <c r="I32" s="475"/>
      <c r="J32" s="477"/>
      <c r="K32" s="497">
        <f>IF(F32="",0,(VLOOKUP('wgl tot'!F32,saltab2019,'wgl tot'!G32+1,FALSE)))</f>
        <v>0</v>
      </c>
      <c r="L32" s="479">
        <f t="shared" si="0"/>
        <v>0</v>
      </c>
      <c r="M32" s="467"/>
      <c r="N32" s="497">
        <f>ROUND(IF(('wgl tot'!L32+'wgl tot'!P32)*BB32&lt;'wgl tot'!H32*tabellen!$D$43,'wgl tot'!H32*tabellen!$D$43,('wgl tot'!L32+'wgl tot'!P32)*BB32),2)</f>
        <v>0</v>
      </c>
      <c r="O32" s="497">
        <f>ROUND(+('wgl tot'!L32+'wgl tot'!P32)*BC32,2)</f>
        <v>0</v>
      </c>
      <c r="P32" s="497">
        <f>ROUND(IF(I32="j",VLOOKUP(AZ32,uitlooptoeslag,2,FALSE))*IF('wgl tot'!H32&gt;1,1,'wgl tot'!H32),2)</f>
        <v>0</v>
      </c>
      <c r="Q32" s="497">
        <f>ROUND(IF(BE32="j",tabellen!$D$52*IF('wgl tot'!H32&gt;1,1,'wgl tot'!H32),0),2)</f>
        <v>0</v>
      </c>
      <c r="R32" s="497">
        <f>IF(AND(F32&gt;0,F32&lt;17),tabellen!$C$37*'wgl tot'!H32,0)</f>
        <v>0</v>
      </c>
      <c r="S32" s="497">
        <f>VLOOKUP(BD32,eindejaarsuitkering_OOP,2,TRUE)*'wgl tot'!H32/12</f>
        <v>0</v>
      </c>
      <c r="T32" s="497">
        <f>ROUND('wgl tot'!H32*tabellen!$D$50,2)</f>
        <v>0</v>
      </c>
      <c r="U32" s="498">
        <f t="shared" si="1"/>
        <v>0</v>
      </c>
      <c r="V32" s="497">
        <f>('wgl tot'!L32+'wgl tot'!P32)*tabellen!$C$39*12</f>
        <v>0</v>
      </c>
      <c r="W32" s="479">
        <f t="shared" si="10"/>
        <v>0</v>
      </c>
      <c r="X32" s="467"/>
      <c r="Y32" s="498">
        <f t="shared" si="11"/>
        <v>0</v>
      </c>
      <c r="Z32" s="674">
        <f>+'wgl tot'!V32/12</f>
        <v>0</v>
      </c>
      <c r="AA32" s="467"/>
      <c r="AB32" s="497">
        <f>IF(F32="",0,(IF('wgl tot'!U32/'wgl tot'!H32&lt;tabellen!$E$6,0,('wgl tot'!U32-tabellen!$E$6*'wgl tot'!H32)/12)*tabellen!$C$6))</f>
        <v>0</v>
      </c>
      <c r="AC32" s="497">
        <f>IF(F32="",0,(IF('wgl tot'!U32/'wgl tot'!H32&lt;tabellen!$E$7,0,(+'wgl tot'!U32-tabellen!$E$7*'wgl tot'!H32)/12)*tabellen!$C$7))</f>
        <v>0</v>
      </c>
      <c r="AD32" s="497">
        <f>'wgl tot'!U32/12*tabellen!$C$8</f>
        <v>0</v>
      </c>
      <c r="AE32" s="497">
        <f>IF(H32=0,0,IF(BJ32&gt;tabellen!$G$9/12,tabellen!$G$9/12,BJ32)*(tabellen!$C$9+tabellen!$C$10))</f>
        <v>0</v>
      </c>
      <c r="AF32" s="497">
        <f>IF(F32="",0,('wgl tot'!BK32))</f>
        <v>0</v>
      </c>
      <c r="AG32" s="499">
        <f>IF(F32="",0,(IF('wgl tot'!BJ32&gt;tabellen!$G$12*'wgl tot'!H32/12,tabellen!$G$12*'wgl tot'!H32/12,'wgl tot'!BJ32)*tabellen!$C$12))</f>
        <v>0</v>
      </c>
      <c r="AH32" s="467"/>
      <c r="AI32" s="499">
        <f>IF(F32="",0,('wgl tot'!BJ32*IF(J32=1,tabellen!$C$13,IF(J32=2,tabellen!$C$14,IF(J32=3,tabellen!$C$15,tabellen!$C$16)))))</f>
        <v>0</v>
      </c>
      <c r="AJ32" s="499">
        <f>IF(F32="",0,('wgl tot'!BJ32*tabellen!$C$17))</f>
        <v>0</v>
      </c>
      <c r="AK32" s="679">
        <v>0</v>
      </c>
      <c r="AL32" s="467"/>
      <c r="AM32" s="479">
        <f t="shared" si="2"/>
        <v>0</v>
      </c>
      <c r="AN32" s="479">
        <f t="shared" si="12"/>
        <v>0</v>
      </c>
      <c r="AO32" s="467"/>
      <c r="AP32" s="503" t="str">
        <f t="shared" si="3"/>
        <v/>
      </c>
      <c r="AQ32" s="503" t="str">
        <f t="shared" si="4"/>
        <v/>
      </c>
      <c r="AR32" s="467"/>
      <c r="AS32" s="444"/>
      <c r="AT32" s="436"/>
      <c r="AU32" s="436"/>
      <c r="AV32" s="481">
        <f ca="1">YEAR('wgl tot'!$AV$9)-YEAR('wgl tot'!E32)</f>
        <v>118</v>
      </c>
      <c r="AW32" s="481">
        <f ca="1">MONTH('wgl tot'!$AV$9)-MONTH('wgl tot'!E32)</f>
        <v>8</v>
      </c>
      <c r="AX32" s="481">
        <f ca="1">DAY('wgl tot'!$AV$9)-DAY('wgl tot'!E32)</f>
        <v>21</v>
      </c>
      <c r="AY32" s="445">
        <f>IF(AND('wgl tot'!F32&gt;0,'wgl tot'!F32&lt;17),0,100)</f>
        <v>100</v>
      </c>
      <c r="AZ32" s="445">
        <f t="shared" si="5"/>
        <v>0</v>
      </c>
      <c r="BA32" s="464">
        <v>42583</v>
      </c>
      <c r="BB32" s="482">
        <f t="shared" si="15"/>
        <v>0.08</v>
      </c>
      <c r="BC32" s="483">
        <f>+tabellen!$D$44</f>
        <v>6.3E-2</v>
      </c>
      <c r="BD32" s="481">
        <f>IF('wgl tot'!AY32=100,0,'wgl tot'!F32)</f>
        <v>0</v>
      </c>
      <c r="BE32" s="483" t="str">
        <f>IF(OR('wgl tot'!F32="DA",'wgl tot'!F32="DB",'wgl tot'!F32="DBuit",'wgl tot'!F32="DC",'wgl tot'!F32="DCuit",MID('wgl tot'!F32,1,5)="meerh"),"j","n")</f>
        <v>n</v>
      </c>
      <c r="BF32" s="485" t="e">
        <f>IF('wgl tot'!U32/'wgl tot'!H32&lt;tabellen!$E$6,0,(+'wgl tot'!U32-tabellen!$E$6*'wgl tot'!H32)/12*tabellen!$D$6)</f>
        <v>#DIV/0!</v>
      </c>
      <c r="BG32" s="485" t="e">
        <f>IF('wgl tot'!U32/'wgl tot'!H32&lt;tabellen!$E$7,0,(+'wgl tot'!U32-tabellen!$E$7*'wgl tot'!H32)/12*tabellen!$D$7)</f>
        <v>#DIV/0!</v>
      </c>
      <c r="BH32" s="485">
        <f>'wgl tot'!U32/12*tabellen!$D$8</f>
        <v>0</v>
      </c>
      <c r="BI32" s="486" t="e">
        <f t="shared" si="16"/>
        <v>#DIV/0!</v>
      </c>
      <c r="BJ32" s="487" t="e">
        <f>+(U32+V32)/12-'wgl tot'!BI32</f>
        <v>#DIV/0!</v>
      </c>
      <c r="BK32" s="487" t="e">
        <f>ROUND(IF('wgl tot'!BJ32&gt;tabellen!$H$11,tabellen!$H$11,'wgl tot'!BJ32)*tabellen!$C$11,2)</f>
        <v>#DIV/0!</v>
      </c>
      <c r="BL32" s="487" t="e">
        <f>+'wgl tot'!BJ32+'wgl tot'!BK32</f>
        <v>#DIV/0!</v>
      </c>
      <c r="BM32" s="488">
        <f t="shared" si="7"/>
        <v>1900</v>
      </c>
      <c r="BN32" s="488">
        <f t="shared" si="8"/>
        <v>1</v>
      </c>
      <c r="BO32" s="481">
        <f t="shared" si="9"/>
        <v>0</v>
      </c>
      <c r="BP32" s="464">
        <f t="shared" si="13"/>
        <v>22462</v>
      </c>
      <c r="BQ32" s="464">
        <f t="shared" ca="1" si="14"/>
        <v>43364.939215393519</v>
      </c>
      <c r="BR32" s="445"/>
      <c r="BS32" s="464"/>
      <c r="BT32" s="445"/>
      <c r="BU32" s="484"/>
      <c r="BV32" s="484"/>
      <c r="BW32" s="484"/>
      <c r="BX32" s="484"/>
      <c r="BY32" s="484"/>
      <c r="BZ32" s="484"/>
      <c r="CA32" s="436"/>
      <c r="CB32" s="436"/>
    </row>
    <row r="33" spans="1:80" s="447" customFormat="1" ht="12" customHeight="1" x14ac:dyDescent="0.2">
      <c r="A33" s="436"/>
      <c r="B33" s="437"/>
      <c r="C33" s="467"/>
      <c r="D33" s="473"/>
      <c r="E33" s="474"/>
      <c r="F33" s="475"/>
      <c r="G33" s="475"/>
      <c r="H33" s="476"/>
      <c r="I33" s="475"/>
      <c r="J33" s="477"/>
      <c r="K33" s="497">
        <f>IF(F33="",0,(VLOOKUP('wgl tot'!F33,saltab2019,'wgl tot'!G33+1,FALSE)))</f>
        <v>0</v>
      </c>
      <c r="L33" s="479">
        <f t="shared" si="0"/>
        <v>0</v>
      </c>
      <c r="M33" s="467"/>
      <c r="N33" s="497">
        <f>ROUND(IF(('wgl tot'!L33+'wgl tot'!P33)*BB33&lt;'wgl tot'!H33*tabellen!$D$43,'wgl tot'!H33*tabellen!$D$43,('wgl tot'!L33+'wgl tot'!P33)*BB33),2)</f>
        <v>0</v>
      </c>
      <c r="O33" s="497">
        <f>ROUND(+('wgl tot'!L33+'wgl tot'!P33)*BC33,2)</f>
        <v>0</v>
      </c>
      <c r="P33" s="497">
        <f>ROUND(IF(I33="j",VLOOKUP(AZ33,uitlooptoeslag,2,FALSE))*IF('wgl tot'!H33&gt;1,1,'wgl tot'!H33),2)</f>
        <v>0</v>
      </c>
      <c r="Q33" s="497">
        <f>ROUND(IF(BE33="j",tabellen!$D$52*IF('wgl tot'!H33&gt;1,1,'wgl tot'!H33),0),2)</f>
        <v>0</v>
      </c>
      <c r="R33" s="497">
        <f>IF(AND(F33&gt;0,F33&lt;17),tabellen!$C$37*'wgl tot'!H33,0)</f>
        <v>0</v>
      </c>
      <c r="S33" s="497">
        <f>VLOOKUP(BD33,eindejaarsuitkering_OOP,2,TRUE)*'wgl tot'!H33/12</f>
        <v>0</v>
      </c>
      <c r="T33" s="497">
        <f>ROUND('wgl tot'!H33*tabellen!$D$50,2)</f>
        <v>0</v>
      </c>
      <c r="U33" s="498">
        <f t="shared" si="1"/>
        <v>0</v>
      </c>
      <c r="V33" s="497">
        <f>('wgl tot'!L33+'wgl tot'!P33)*tabellen!$C$39*12</f>
        <v>0</v>
      </c>
      <c r="W33" s="479">
        <f t="shared" si="10"/>
        <v>0</v>
      </c>
      <c r="X33" s="467"/>
      <c r="Y33" s="498">
        <f t="shared" si="11"/>
        <v>0</v>
      </c>
      <c r="Z33" s="674">
        <f>+'wgl tot'!V33/12</f>
        <v>0</v>
      </c>
      <c r="AA33" s="467"/>
      <c r="AB33" s="497">
        <f>IF(F33="",0,(IF('wgl tot'!U33/'wgl tot'!H33&lt;tabellen!$E$6,0,('wgl tot'!U33-tabellen!$E$6*'wgl tot'!H33)/12)*tabellen!$C$6))</f>
        <v>0</v>
      </c>
      <c r="AC33" s="497">
        <f>IF(F33="",0,(IF('wgl tot'!U33/'wgl tot'!H33&lt;tabellen!$E$7,0,(+'wgl tot'!U33-tabellen!$E$7*'wgl tot'!H33)/12)*tabellen!$C$7))</f>
        <v>0</v>
      </c>
      <c r="AD33" s="497">
        <f>'wgl tot'!U33/12*tabellen!$C$8</f>
        <v>0</v>
      </c>
      <c r="AE33" s="497">
        <f>IF(H33=0,0,IF(BJ33&gt;tabellen!$G$9/12,tabellen!$G$9/12,BJ33)*(tabellen!$C$9+tabellen!$C$10))</f>
        <v>0</v>
      </c>
      <c r="AF33" s="497">
        <f>IF(F33="",0,('wgl tot'!BK33))</f>
        <v>0</v>
      </c>
      <c r="AG33" s="499">
        <f>IF(F33="",0,(IF('wgl tot'!BJ33&gt;tabellen!$G$12*'wgl tot'!H33/12,tabellen!$G$12*'wgl tot'!H33/12,'wgl tot'!BJ33)*tabellen!$C$12))</f>
        <v>0</v>
      </c>
      <c r="AH33" s="467"/>
      <c r="AI33" s="499">
        <f>IF(F33="",0,('wgl tot'!BJ33*IF(J33=1,tabellen!$C$13,IF(J33=2,tabellen!$C$14,IF(J33=3,tabellen!$C$15,tabellen!$C$16)))))</f>
        <v>0</v>
      </c>
      <c r="AJ33" s="499">
        <f>IF(F33="",0,('wgl tot'!BJ33*tabellen!$C$17))</f>
        <v>0</v>
      </c>
      <c r="AK33" s="679">
        <v>0</v>
      </c>
      <c r="AL33" s="467"/>
      <c r="AM33" s="479">
        <f t="shared" si="2"/>
        <v>0</v>
      </c>
      <c r="AN33" s="479">
        <f t="shared" si="12"/>
        <v>0</v>
      </c>
      <c r="AO33" s="467"/>
      <c r="AP33" s="503" t="str">
        <f t="shared" si="3"/>
        <v/>
      </c>
      <c r="AQ33" s="503" t="str">
        <f t="shared" si="4"/>
        <v/>
      </c>
      <c r="AR33" s="467"/>
      <c r="AS33" s="444"/>
      <c r="AT33" s="436"/>
      <c r="AU33" s="436"/>
      <c r="AV33" s="481">
        <f ca="1">YEAR('wgl tot'!$AV$9)-YEAR('wgl tot'!E33)</f>
        <v>118</v>
      </c>
      <c r="AW33" s="481">
        <f ca="1">MONTH('wgl tot'!$AV$9)-MONTH('wgl tot'!E33)</f>
        <v>8</v>
      </c>
      <c r="AX33" s="481">
        <f ca="1">DAY('wgl tot'!$AV$9)-DAY('wgl tot'!E33)</f>
        <v>21</v>
      </c>
      <c r="AY33" s="445">
        <f>IF(AND('wgl tot'!F33&gt;0,'wgl tot'!F33&lt;17),0,100)</f>
        <v>100</v>
      </c>
      <c r="AZ33" s="445">
        <f t="shared" si="5"/>
        <v>0</v>
      </c>
      <c r="BA33" s="464">
        <v>42583</v>
      </c>
      <c r="BB33" s="482">
        <f t="shared" si="15"/>
        <v>0.08</v>
      </c>
      <c r="BC33" s="483">
        <f>+tabellen!$D$44</f>
        <v>6.3E-2</v>
      </c>
      <c r="BD33" s="481">
        <f>IF('wgl tot'!AY33=100,0,'wgl tot'!F33)</f>
        <v>0</v>
      </c>
      <c r="BE33" s="483" t="str">
        <f>IF(OR('wgl tot'!F33="DA",'wgl tot'!F33="DB",'wgl tot'!F33="DBuit",'wgl tot'!F33="DC",'wgl tot'!F33="DCuit",MID('wgl tot'!F33,1,5)="meerh"),"j","n")</f>
        <v>n</v>
      </c>
      <c r="BF33" s="485" t="e">
        <f>IF('wgl tot'!U33/'wgl tot'!H33&lt;tabellen!$E$6,0,(+'wgl tot'!U33-tabellen!$E$6*'wgl tot'!H33)/12*tabellen!$D$6)</f>
        <v>#DIV/0!</v>
      </c>
      <c r="BG33" s="485" t="e">
        <f>IF('wgl tot'!U33/'wgl tot'!H33&lt;tabellen!$E$7,0,(+'wgl tot'!U33-tabellen!$E$7*'wgl tot'!H33)/12*tabellen!$D$7)</f>
        <v>#DIV/0!</v>
      </c>
      <c r="BH33" s="485">
        <f>'wgl tot'!U33/12*tabellen!$D$8</f>
        <v>0</v>
      </c>
      <c r="BI33" s="486" t="e">
        <f t="shared" si="16"/>
        <v>#DIV/0!</v>
      </c>
      <c r="BJ33" s="487" t="e">
        <f>+(U33+V33)/12-'wgl tot'!BI33</f>
        <v>#DIV/0!</v>
      </c>
      <c r="BK33" s="487" t="e">
        <f>ROUND(IF('wgl tot'!BJ33&gt;tabellen!$H$11,tabellen!$H$11,'wgl tot'!BJ33)*tabellen!$C$11,2)</f>
        <v>#DIV/0!</v>
      </c>
      <c r="BL33" s="487" t="e">
        <f>+'wgl tot'!BJ33+'wgl tot'!BK33</f>
        <v>#DIV/0!</v>
      </c>
      <c r="BM33" s="488">
        <f t="shared" si="7"/>
        <v>1900</v>
      </c>
      <c r="BN33" s="488">
        <f t="shared" si="8"/>
        <v>1</v>
      </c>
      <c r="BO33" s="481">
        <f t="shared" si="9"/>
        <v>0</v>
      </c>
      <c r="BP33" s="464">
        <f t="shared" si="13"/>
        <v>22462</v>
      </c>
      <c r="BQ33" s="464">
        <f t="shared" ca="1" si="14"/>
        <v>43364.939215393519</v>
      </c>
      <c r="BR33" s="445"/>
      <c r="BS33" s="464"/>
      <c r="BT33" s="445"/>
      <c r="BU33" s="484"/>
      <c r="BV33" s="484"/>
      <c r="BW33" s="484"/>
      <c r="BX33" s="484"/>
      <c r="BY33" s="484"/>
      <c r="BZ33" s="484"/>
      <c r="CA33" s="436"/>
      <c r="CB33" s="436"/>
    </row>
    <row r="34" spans="1:80" s="447" customFormat="1" ht="12" customHeight="1" x14ac:dyDescent="0.2">
      <c r="A34" s="436"/>
      <c r="B34" s="437"/>
      <c r="C34" s="467"/>
      <c r="D34" s="473"/>
      <c r="E34" s="474"/>
      <c r="F34" s="475"/>
      <c r="G34" s="475"/>
      <c r="H34" s="476"/>
      <c r="I34" s="475"/>
      <c r="J34" s="477"/>
      <c r="K34" s="497">
        <f>IF(F34="",0,(VLOOKUP('wgl tot'!F34,saltab2019,'wgl tot'!G34+1,FALSE)))</f>
        <v>0</v>
      </c>
      <c r="L34" s="479">
        <f t="shared" si="0"/>
        <v>0</v>
      </c>
      <c r="M34" s="467"/>
      <c r="N34" s="497">
        <f>ROUND(IF(('wgl tot'!L34+'wgl tot'!P34)*BB34&lt;'wgl tot'!H34*tabellen!$D$43,'wgl tot'!H34*tabellen!$D$43,('wgl tot'!L34+'wgl tot'!P34)*BB34),2)</f>
        <v>0</v>
      </c>
      <c r="O34" s="497">
        <f>ROUND(+('wgl tot'!L34+'wgl tot'!P34)*BC34,2)</f>
        <v>0</v>
      </c>
      <c r="P34" s="497">
        <f>ROUND(IF(I34="j",VLOOKUP(AZ34,uitlooptoeslag,2,FALSE))*IF('wgl tot'!H34&gt;1,1,'wgl tot'!H34),2)</f>
        <v>0</v>
      </c>
      <c r="Q34" s="497">
        <f>ROUND(IF(BE34="j",tabellen!$D$52*IF('wgl tot'!H34&gt;1,1,'wgl tot'!H34),0),2)</f>
        <v>0</v>
      </c>
      <c r="R34" s="497">
        <f>IF(AND(F34&gt;0,F34&lt;17),tabellen!$C$37*'wgl tot'!H34,0)</f>
        <v>0</v>
      </c>
      <c r="S34" s="497">
        <f>VLOOKUP(BD34,eindejaarsuitkering_OOP,2,TRUE)*'wgl tot'!H34/12</f>
        <v>0</v>
      </c>
      <c r="T34" s="497">
        <f>ROUND('wgl tot'!H34*tabellen!$D$50,2)</f>
        <v>0</v>
      </c>
      <c r="U34" s="498">
        <f t="shared" si="1"/>
        <v>0</v>
      </c>
      <c r="V34" s="497">
        <f>('wgl tot'!L34+'wgl tot'!P34)*tabellen!$C$39*12</f>
        <v>0</v>
      </c>
      <c r="W34" s="479">
        <f t="shared" si="10"/>
        <v>0</v>
      </c>
      <c r="X34" s="467"/>
      <c r="Y34" s="498">
        <f t="shared" si="11"/>
        <v>0</v>
      </c>
      <c r="Z34" s="674">
        <f>+'wgl tot'!V34/12</f>
        <v>0</v>
      </c>
      <c r="AA34" s="467"/>
      <c r="AB34" s="497">
        <f>IF(F34="",0,(IF('wgl tot'!U34/'wgl tot'!H34&lt;tabellen!$E$6,0,('wgl tot'!U34-tabellen!$E$6*'wgl tot'!H34)/12)*tabellen!$C$6))</f>
        <v>0</v>
      </c>
      <c r="AC34" s="497">
        <f>IF(F34="",0,(IF('wgl tot'!U34/'wgl tot'!H34&lt;tabellen!$E$7,0,(+'wgl tot'!U34-tabellen!$E$7*'wgl tot'!H34)/12)*tabellen!$C$7))</f>
        <v>0</v>
      </c>
      <c r="AD34" s="497">
        <f>'wgl tot'!U34/12*tabellen!$C$8</f>
        <v>0</v>
      </c>
      <c r="AE34" s="497">
        <f>IF(H34=0,0,IF(BJ34&gt;tabellen!$G$9/12,tabellen!$G$9/12,BJ34)*(tabellen!$C$9+tabellen!$C$10))</f>
        <v>0</v>
      </c>
      <c r="AF34" s="497">
        <f>IF(F34="",0,('wgl tot'!BK34))</f>
        <v>0</v>
      </c>
      <c r="AG34" s="499">
        <f>IF(F34="",0,(IF('wgl tot'!BJ34&gt;tabellen!$G$12*'wgl tot'!H34/12,tabellen!$G$12*'wgl tot'!H34/12,'wgl tot'!BJ34)*tabellen!$C$12))</f>
        <v>0</v>
      </c>
      <c r="AH34" s="467"/>
      <c r="AI34" s="499">
        <f>IF(F34="",0,('wgl tot'!BJ34*IF(J34=1,tabellen!$C$13,IF(J34=2,tabellen!$C$14,IF(J34=3,tabellen!$C$15,tabellen!$C$16)))))</f>
        <v>0</v>
      </c>
      <c r="AJ34" s="499">
        <f>IF(F34="",0,('wgl tot'!BJ34*tabellen!$C$17))</f>
        <v>0</v>
      </c>
      <c r="AK34" s="679">
        <v>0</v>
      </c>
      <c r="AL34" s="467"/>
      <c r="AM34" s="479">
        <f t="shared" si="2"/>
        <v>0</v>
      </c>
      <c r="AN34" s="479">
        <f t="shared" si="12"/>
        <v>0</v>
      </c>
      <c r="AO34" s="467"/>
      <c r="AP34" s="503" t="str">
        <f t="shared" si="3"/>
        <v/>
      </c>
      <c r="AQ34" s="503" t="str">
        <f t="shared" si="4"/>
        <v/>
      </c>
      <c r="AR34" s="467"/>
      <c r="AS34" s="444"/>
      <c r="AT34" s="436"/>
      <c r="AU34" s="436"/>
      <c r="AV34" s="481">
        <f ca="1">YEAR('wgl tot'!$AV$9)-YEAR('wgl tot'!E34)</f>
        <v>118</v>
      </c>
      <c r="AW34" s="481">
        <f ca="1">MONTH('wgl tot'!$AV$9)-MONTH('wgl tot'!E34)</f>
        <v>8</v>
      </c>
      <c r="AX34" s="481">
        <f ca="1">DAY('wgl tot'!$AV$9)-DAY('wgl tot'!E34)</f>
        <v>21</v>
      </c>
      <c r="AY34" s="445">
        <f>IF(AND('wgl tot'!F34&gt;0,'wgl tot'!F34&lt;17),0,100)</f>
        <v>100</v>
      </c>
      <c r="AZ34" s="445">
        <f t="shared" si="5"/>
        <v>0</v>
      </c>
      <c r="BA34" s="464">
        <v>42583</v>
      </c>
      <c r="BB34" s="482">
        <f t="shared" si="15"/>
        <v>0.08</v>
      </c>
      <c r="BC34" s="483">
        <f>+tabellen!$D$44</f>
        <v>6.3E-2</v>
      </c>
      <c r="BD34" s="481">
        <f>IF('wgl tot'!AY34=100,0,'wgl tot'!F34)</f>
        <v>0</v>
      </c>
      <c r="BE34" s="483" t="str">
        <f>IF(OR('wgl tot'!F34="DA",'wgl tot'!F34="DB",'wgl tot'!F34="DBuit",'wgl tot'!F34="DC",'wgl tot'!F34="DCuit",MID('wgl tot'!F34,1,5)="meerh"),"j","n")</f>
        <v>n</v>
      </c>
      <c r="BF34" s="485" t="e">
        <f>IF('wgl tot'!U34/'wgl tot'!H34&lt;tabellen!$E$6,0,(+'wgl tot'!U34-tabellen!$E$6*'wgl tot'!H34)/12*tabellen!$D$6)</f>
        <v>#DIV/0!</v>
      </c>
      <c r="BG34" s="485" t="e">
        <f>IF('wgl tot'!U34/'wgl tot'!H34&lt;tabellen!$E$7,0,(+'wgl tot'!U34-tabellen!$E$7*'wgl tot'!H34)/12*tabellen!$D$7)</f>
        <v>#DIV/0!</v>
      </c>
      <c r="BH34" s="485">
        <f>'wgl tot'!U34/12*tabellen!$D$8</f>
        <v>0</v>
      </c>
      <c r="BI34" s="486" t="e">
        <f t="shared" si="16"/>
        <v>#DIV/0!</v>
      </c>
      <c r="BJ34" s="487" t="e">
        <f>+(U34+V34)/12-'wgl tot'!BI34</f>
        <v>#DIV/0!</v>
      </c>
      <c r="BK34" s="487" t="e">
        <f>ROUND(IF('wgl tot'!BJ34&gt;tabellen!$H$11,tabellen!$H$11,'wgl tot'!BJ34)*tabellen!$C$11,2)</f>
        <v>#DIV/0!</v>
      </c>
      <c r="BL34" s="487" t="e">
        <f>+'wgl tot'!BJ34+'wgl tot'!BK34</f>
        <v>#DIV/0!</v>
      </c>
      <c r="BM34" s="488">
        <f t="shared" si="7"/>
        <v>1900</v>
      </c>
      <c r="BN34" s="488">
        <f t="shared" si="8"/>
        <v>1</v>
      </c>
      <c r="BO34" s="481">
        <f t="shared" si="9"/>
        <v>0</v>
      </c>
      <c r="BP34" s="464">
        <f t="shared" si="13"/>
        <v>22462</v>
      </c>
      <c r="BQ34" s="464">
        <f t="shared" ca="1" si="14"/>
        <v>43364.939215393519</v>
      </c>
      <c r="BR34" s="445"/>
      <c r="BS34" s="464"/>
      <c r="BT34" s="445"/>
      <c r="BU34" s="484"/>
      <c r="BV34" s="484"/>
      <c r="BW34" s="484"/>
      <c r="BX34" s="484"/>
      <c r="BY34" s="484"/>
      <c r="BZ34" s="484"/>
      <c r="CA34" s="436"/>
      <c r="CB34" s="436"/>
    </row>
    <row r="35" spans="1:80" s="447" customFormat="1" ht="12" customHeight="1" x14ac:dyDescent="0.2">
      <c r="A35" s="436"/>
      <c r="B35" s="437"/>
      <c r="C35" s="467"/>
      <c r="D35" s="473"/>
      <c r="E35" s="474"/>
      <c r="F35" s="475"/>
      <c r="G35" s="475"/>
      <c r="H35" s="476"/>
      <c r="I35" s="475"/>
      <c r="J35" s="477"/>
      <c r="K35" s="497">
        <f>IF(F35="",0,(VLOOKUP('wgl tot'!F35,saltab2019,'wgl tot'!G35+1,FALSE)))</f>
        <v>0</v>
      </c>
      <c r="L35" s="479">
        <f t="shared" si="0"/>
        <v>0</v>
      </c>
      <c r="M35" s="467"/>
      <c r="N35" s="497">
        <f>ROUND(IF(('wgl tot'!L35+'wgl tot'!P35)*BB35&lt;'wgl tot'!H35*tabellen!$D$43,'wgl tot'!H35*tabellen!$D$43,('wgl tot'!L35+'wgl tot'!P35)*BB35),2)</f>
        <v>0</v>
      </c>
      <c r="O35" s="497">
        <f>ROUND(+('wgl tot'!L35+'wgl tot'!P35)*BC35,2)</f>
        <v>0</v>
      </c>
      <c r="P35" s="497">
        <f>ROUND(IF(I35="j",VLOOKUP(AZ35,uitlooptoeslag,2,FALSE))*IF('wgl tot'!H35&gt;1,1,'wgl tot'!H35),2)</f>
        <v>0</v>
      </c>
      <c r="Q35" s="497">
        <f>ROUND(IF(BE35="j",tabellen!$D$52*IF('wgl tot'!H35&gt;1,1,'wgl tot'!H35),0),2)</f>
        <v>0</v>
      </c>
      <c r="R35" s="497">
        <f>IF(AND(F35&gt;0,F35&lt;17),tabellen!$C$37*'wgl tot'!H35,0)</f>
        <v>0</v>
      </c>
      <c r="S35" s="497">
        <f>VLOOKUP(BD35,eindejaarsuitkering_OOP,2,TRUE)*'wgl tot'!H35/12</f>
        <v>0</v>
      </c>
      <c r="T35" s="497">
        <f>ROUND('wgl tot'!H35*tabellen!$D$50,2)</f>
        <v>0</v>
      </c>
      <c r="U35" s="498">
        <f t="shared" si="1"/>
        <v>0</v>
      </c>
      <c r="V35" s="497">
        <f>('wgl tot'!L35+'wgl tot'!P35)*tabellen!$C$39*12</f>
        <v>0</v>
      </c>
      <c r="W35" s="479">
        <f t="shared" si="10"/>
        <v>0</v>
      </c>
      <c r="X35" s="467"/>
      <c r="Y35" s="498">
        <f t="shared" si="11"/>
        <v>0</v>
      </c>
      <c r="Z35" s="674">
        <f>+'wgl tot'!V35/12</f>
        <v>0</v>
      </c>
      <c r="AA35" s="467"/>
      <c r="AB35" s="497">
        <f>IF(F35="",0,(IF('wgl tot'!U35/'wgl tot'!H35&lt;tabellen!$E$6,0,('wgl tot'!U35-tabellen!$E$6*'wgl tot'!H35)/12)*tabellen!$C$6))</f>
        <v>0</v>
      </c>
      <c r="AC35" s="497">
        <f>IF(F35="",0,(IF('wgl tot'!U35/'wgl tot'!H35&lt;tabellen!$E$7,0,(+'wgl tot'!U35-tabellen!$E$7*'wgl tot'!H35)/12)*tabellen!$C$7))</f>
        <v>0</v>
      </c>
      <c r="AD35" s="497">
        <f>'wgl tot'!U35/12*tabellen!$C$8</f>
        <v>0</v>
      </c>
      <c r="AE35" s="497">
        <f>IF(H35=0,0,IF(BJ35&gt;tabellen!$G$9/12,tabellen!$G$9/12,BJ35)*(tabellen!$C$9+tabellen!$C$10))</f>
        <v>0</v>
      </c>
      <c r="AF35" s="497">
        <f>IF(F35="",0,('wgl tot'!BK35))</f>
        <v>0</v>
      </c>
      <c r="AG35" s="499">
        <f>IF(F35="",0,(IF('wgl tot'!BJ35&gt;tabellen!$G$12*'wgl tot'!H35/12,tabellen!$G$12*'wgl tot'!H35/12,'wgl tot'!BJ35)*tabellen!$C$12))</f>
        <v>0</v>
      </c>
      <c r="AH35" s="467"/>
      <c r="AI35" s="499">
        <f>IF(F35="",0,('wgl tot'!BJ35*IF(J35=1,tabellen!$C$13,IF(J35=2,tabellen!$C$14,IF(J35=3,tabellen!$C$15,tabellen!$C$16)))))</f>
        <v>0</v>
      </c>
      <c r="AJ35" s="499">
        <f>IF(F35="",0,('wgl tot'!BJ35*tabellen!$C$17))</f>
        <v>0</v>
      </c>
      <c r="AK35" s="679">
        <v>0</v>
      </c>
      <c r="AL35" s="467"/>
      <c r="AM35" s="479">
        <f t="shared" si="2"/>
        <v>0</v>
      </c>
      <c r="AN35" s="479">
        <f t="shared" si="12"/>
        <v>0</v>
      </c>
      <c r="AO35" s="467"/>
      <c r="AP35" s="503" t="str">
        <f t="shared" si="3"/>
        <v/>
      </c>
      <c r="AQ35" s="503" t="str">
        <f t="shared" si="4"/>
        <v/>
      </c>
      <c r="AR35" s="467"/>
      <c r="AS35" s="444"/>
      <c r="AT35" s="436"/>
      <c r="AU35" s="436"/>
      <c r="AV35" s="481">
        <f ca="1">YEAR('wgl tot'!$AV$9)-YEAR('wgl tot'!E35)</f>
        <v>118</v>
      </c>
      <c r="AW35" s="481">
        <f ca="1">MONTH('wgl tot'!$AV$9)-MONTH('wgl tot'!E35)</f>
        <v>8</v>
      </c>
      <c r="AX35" s="481">
        <f ca="1">DAY('wgl tot'!$AV$9)-DAY('wgl tot'!E35)</f>
        <v>21</v>
      </c>
      <c r="AY35" s="445">
        <f>IF(AND('wgl tot'!F35&gt;0,'wgl tot'!F35&lt;17),0,100)</f>
        <v>100</v>
      </c>
      <c r="AZ35" s="445">
        <f t="shared" si="5"/>
        <v>0</v>
      </c>
      <c r="BA35" s="464">
        <v>42583</v>
      </c>
      <c r="BB35" s="482">
        <f t="shared" si="15"/>
        <v>0.08</v>
      </c>
      <c r="BC35" s="483">
        <f>+tabellen!$D$44</f>
        <v>6.3E-2</v>
      </c>
      <c r="BD35" s="481">
        <f>IF('wgl tot'!AY35=100,0,'wgl tot'!F35)</f>
        <v>0</v>
      </c>
      <c r="BE35" s="483" t="str">
        <f>IF(OR('wgl tot'!F35="DA",'wgl tot'!F35="DB",'wgl tot'!F35="DBuit",'wgl tot'!F35="DC",'wgl tot'!F35="DCuit",MID('wgl tot'!F35,1,5)="meerh"),"j","n")</f>
        <v>n</v>
      </c>
      <c r="BF35" s="485" t="e">
        <f>IF('wgl tot'!U35/'wgl tot'!H35&lt;tabellen!$E$6,0,(+'wgl tot'!U35-tabellen!$E$6*'wgl tot'!H35)/12*tabellen!$D$6)</f>
        <v>#DIV/0!</v>
      </c>
      <c r="BG35" s="485" t="e">
        <f>IF('wgl tot'!U35/'wgl tot'!H35&lt;tabellen!$E$7,0,(+'wgl tot'!U35-tabellen!$E$7*'wgl tot'!H35)/12*tabellen!$D$7)</f>
        <v>#DIV/0!</v>
      </c>
      <c r="BH35" s="485">
        <f>'wgl tot'!U35/12*tabellen!$D$8</f>
        <v>0</v>
      </c>
      <c r="BI35" s="486" t="e">
        <f t="shared" si="16"/>
        <v>#DIV/0!</v>
      </c>
      <c r="BJ35" s="487" t="e">
        <f>+(U35+V35)/12-'wgl tot'!BI35</f>
        <v>#DIV/0!</v>
      </c>
      <c r="BK35" s="487" t="e">
        <f>ROUND(IF('wgl tot'!BJ35&gt;tabellen!$H$11,tabellen!$H$11,'wgl tot'!BJ35)*tabellen!$C$11,2)</f>
        <v>#DIV/0!</v>
      </c>
      <c r="BL35" s="487" t="e">
        <f>+'wgl tot'!BJ35+'wgl tot'!BK35</f>
        <v>#DIV/0!</v>
      </c>
      <c r="BM35" s="488">
        <f t="shared" si="7"/>
        <v>1900</v>
      </c>
      <c r="BN35" s="488">
        <f t="shared" si="8"/>
        <v>1</v>
      </c>
      <c r="BO35" s="481">
        <f t="shared" si="9"/>
        <v>0</v>
      </c>
      <c r="BP35" s="464">
        <f t="shared" si="13"/>
        <v>22462</v>
      </c>
      <c r="BQ35" s="464">
        <f t="shared" ca="1" si="14"/>
        <v>43364.939215393519</v>
      </c>
      <c r="BR35" s="445"/>
      <c r="BS35" s="464"/>
      <c r="BT35" s="445"/>
      <c r="BU35" s="484"/>
      <c r="BV35" s="484"/>
      <c r="BW35" s="484"/>
      <c r="BX35" s="484"/>
      <c r="BY35" s="484"/>
      <c r="BZ35" s="484"/>
      <c r="CA35" s="436"/>
      <c r="CB35" s="436"/>
    </row>
    <row r="36" spans="1:80" s="447" customFormat="1" ht="12" customHeight="1" x14ac:dyDescent="0.2">
      <c r="A36" s="436"/>
      <c r="B36" s="437"/>
      <c r="C36" s="467"/>
      <c r="D36" s="473"/>
      <c r="E36" s="474"/>
      <c r="F36" s="475"/>
      <c r="G36" s="475"/>
      <c r="H36" s="476"/>
      <c r="I36" s="475"/>
      <c r="J36" s="477"/>
      <c r="K36" s="497">
        <f>IF(F36="",0,(VLOOKUP('wgl tot'!F36,saltab2019,'wgl tot'!G36+1,FALSE)))</f>
        <v>0</v>
      </c>
      <c r="L36" s="479">
        <f t="shared" si="0"/>
        <v>0</v>
      </c>
      <c r="M36" s="467"/>
      <c r="N36" s="497">
        <f>ROUND(IF(('wgl tot'!L36+'wgl tot'!P36)*BB36&lt;'wgl tot'!H36*tabellen!$D$43,'wgl tot'!H36*tabellen!$D$43,('wgl tot'!L36+'wgl tot'!P36)*BB36),2)</f>
        <v>0</v>
      </c>
      <c r="O36" s="497">
        <f>ROUND(+('wgl tot'!L36+'wgl tot'!P36)*BC36,2)</f>
        <v>0</v>
      </c>
      <c r="P36" s="497">
        <f>ROUND(IF(I36="j",VLOOKUP(AZ36,uitlooptoeslag,2,FALSE))*IF('wgl tot'!H36&gt;1,1,'wgl tot'!H36),2)</f>
        <v>0</v>
      </c>
      <c r="Q36" s="497">
        <f>ROUND(IF(BE36="j",tabellen!$D$52*IF('wgl tot'!H36&gt;1,1,'wgl tot'!H36),0),2)</f>
        <v>0</v>
      </c>
      <c r="R36" s="497">
        <f>IF(AND(F36&gt;0,F36&lt;17),tabellen!$C$37*'wgl tot'!H36,0)</f>
        <v>0</v>
      </c>
      <c r="S36" s="497">
        <f>VLOOKUP(BD36,eindejaarsuitkering_OOP,2,TRUE)*'wgl tot'!H36/12</f>
        <v>0</v>
      </c>
      <c r="T36" s="497">
        <f>ROUND('wgl tot'!H36*tabellen!$D$50,2)</f>
        <v>0</v>
      </c>
      <c r="U36" s="498">
        <f t="shared" si="1"/>
        <v>0</v>
      </c>
      <c r="V36" s="497">
        <f>('wgl tot'!L36+'wgl tot'!P36)*tabellen!$C$39*12</f>
        <v>0</v>
      </c>
      <c r="W36" s="479">
        <f t="shared" si="10"/>
        <v>0</v>
      </c>
      <c r="X36" s="467"/>
      <c r="Y36" s="498">
        <f t="shared" si="11"/>
        <v>0</v>
      </c>
      <c r="Z36" s="674">
        <f>+'wgl tot'!V36/12</f>
        <v>0</v>
      </c>
      <c r="AA36" s="467"/>
      <c r="AB36" s="497">
        <f>IF(F36="",0,(IF('wgl tot'!U36/'wgl tot'!H36&lt;tabellen!$E$6,0,('wgl tot'!U36-tabellen!$E$6*'wgl tot'!H36)/12)*tabellen!$C$6))</f>
        <v>0</v>
      </c>
      <c r="AC36" s="497">
        <f>IF(F36="",0,(IF('wgl tot'!U36/'wgl tot'!H36&lt;tabellen!$E$7,0,(+'wgl tot'!U36-tabellen!$E$7*'wgl tot'!H36)/12)*tabellen!$C$7))</f>
        <v>0</v>
      </c>
      <c r="AD36" s="497">
        <f>'wgl tot'!U36/12*tabellen!$C$8</f>
        <v>0</v>
      </c>
      <c r="AE36" s="497">
        <f>IF(H36=0,0,IF(BJ36&gt;tabellen!$G$9/12,tabellen!$G$9/12,BJ36)*(tabellen!$C$9+tabellen!$C$10))</f>
        <v>0</v>
      </c>
      <c r="AF36" s="497">
        <f>IF(F36="",0,('wgl tot'!BK36))</f>
        <v>0</v>
      </c>
      <c r="AG36" s="499">
        <f>IF(F36="",0,(IF('wgl tot'!BJ36&gt;tabellen!$G$12*'wgl tot'!H36/12,tabellen!$G$12*'wgl tot'!H36/12,'wgl tot'!BJ36)*tabellen!$C$12))</f>
        <v>0</v>
      </c>
      <c r="AH36" s="467"/>
      <c r="AI36" s="499">
        <f>IF(F36="",0,('wgl tot'!BJ36*IF(J36=1,tabellen!$C$13,IF(J36=2,tabellen!$C$14,IF(J36=3,tabellen!$C$15,tabellen!$C$16)))))</f>
        <v>0</v>
      </c>
      <c r="AJ36" s="499">
        <f>IF(F36="",0,('wgl tot'!BJ36*tabellen!$C$17))</f>
        <v>0</v>
      </c>
      <c r="AK36" s="679">
        <v>0</v>
      </c>
      <c r="AL36" s="467"/>
      <c r="AM36" s="479">
        <f t="shared" si="2"/>
        <v>0</v>
      </c>
      <c r="AN36" s="479">
        <f t="shared" si="12"/>
        <v>0</v>
      </c>
      <c r="AO36" s="467"/>
      <c r="AP36" s="503" t="str">
        <f t="shared" si="3"/>
        <v/>
      </c>
      <c r="AQ36" s="503" t="str">
        <f t="shared" si="4"/>
        <v/>
      </c>
      <c r="AR36" s="467"/>
      <c r="AS36" s="444"/>
      <c r="AT36" s="436"/>
      <c r="AU36" s="436"/>
      <c r="AV36" s="481">
        <f ca="1">YEAR('wgl tot'!$AV$9)-YEAR('wgl tot'!E36)</f>
        <v>118</v>
      </c>
      <c r="AW36" s="481">
        <f ca="1">MONTH('wgl tot'!$AV$9)-MONTH('wgl tot'!E36)</f>
        <v>8</v>
      </c>
      <c r="AX36" s="481">
        <f ca="1">DAY('wgl tot'!$AV$9)-DAY('wgl tot'!E36)</f>
        <v>21</v>
      </c>
      <c r="AY36" s="445">
        <f>IF(AND('wgl tot'!F36&gt;0,'wgl tot'!F36&lt;17),0,100)</f>
        <v>100</v>
      </c>
      <c r="AZ36" s="445">
        <f t="shared" si="5"/>
        <v>0</v>
      </c>
      <c r="BA36" s="464">
        <v>42583</v>
      </c>
      <c r="BB36" s="482">
        <f t="shared" si="15"/>
        <v>0.08</v>
      </c>
      <c r="BC36" s="483">
        <f>+tabellen!$D$44</f>
        <v>6.3E-2</v>
      </c>
      <c r="BD36" s="481">
        <f>IF('wgl tot'!AY36=100,0,'wgl tot'!F36)</f>
        <v>0</v>
      </c>
      <c r="BE36" s="483" t="str">
        <f>IF(OR('wgl tot'!F36="DA",'wgl tot'!F36="DB",'wgl tot'!F36="DBuit",'wgl tot'!F36="DC",'wgl tot'!F36="DCuit",MID('wgl tot'!F36,1,5)="meerh"),"j","n")</f>
        <v>n</v>
      </c>
      <c r="BF36" s="485" t="e">
        <f>IF('wgl tot'!U36/'wgl tot'!H36&lt;tabellen!$E$6,0,(+'wgl tot'!U36-tabellen!$E$6*'wgl tot'!H36)/12*tabellen!$D$6)</f>
        <v>#DIV/0!</v>
      </c>
      <c r="BG36" s="485" t="e">
        <f>IF('wgl tot'!U36/'wgl tot'!H36&lt;tabellen!$E$7,0,(+'wgl tot'!U36-tabellen!$E$7*'wgl tot'!H36)/12*tabellen!$D$7)</f>
        <v>#DIV/0!</v>
      </c>
      <c r="BH36" s="485">
        <f>'wgl tot'!U36/12*tabellen!$D$8</f>
        <v>0</v>
      </c>
      <c r="BI36" s="486" t="e">
        <f t="shared" si="16"/>
        <v>#DIV/0!</v>
      </c>
      <c r="BJ36" s="487" t="e">
        <f>+(U36+V36)/12-'wgl tot'!BI36</f>
        <v>#DIV/0!</v>
      </c>
      <c r="BK36" s="487" t="e">
        <f>ROUND(IF('wgl tot'!BJ36&gt;tabellen!$H$11,tabellen!$H$11,'wgl tot'!BJ36)*tabellen!$C$11,2)</f>
        <v>#DIV/0!</v>
      </c>
      <c r="BL36" s="487" t="e">
        <f>+'wgl tot'!BJ36+'wgl tot'!BK36</f>
        <v>#DIV/0!</v>
      </c>
      <c r="BM36" s="488">
        <f t="shared" si="7"/>
        <v>1900</v>
      </c>
      <c r="BN36" s="488">
        <f t="shared" si="8"/>
        <v>1</v>
      </c>
      <c r="BO36" s="481">
        <f t="shared" si="9"/>
        <v>0</v>
      </c>
      <c r="BP36" s="464">
        <f t="shared" si="13"/>
        <v>22462</v>
      </c>
      <c r="BQ36" s="464">
        <f t="shared" ca="1" si="14"/>
        <v>43364.939215393519</v>
      </c>
      <c r="BR36" s="445"/>
      <c r="BS36" s="464"/>
      <c r="BT36" s="445"/>
      <c r="BU36" s="484"/>
      <c r="BV36" s="484"/>
      <c r="BW36" s="484"/>
      <c r="BX36" s="484"/>
      <c r="BY36" s="484"/>
      <c r="BZ36" s="484"/>
      <c r="CA36" s="436"/>
      <c r="CB36" s="436"/>
    </row>
    <row r="37" spans="1:80" s="447" customFormat="1" ht="12" customHeight="1" x14ac:dyDescent="0.2">
      <c r="A37" s="436"/>
      <c r="B37" s="437"/>
      <c r="C37" s="467"/>
      <c r="D37" s="473"/>
      <c r="E37" s="474"/>
      <c r="F37" s="475"/>
      <c r="G37" s="475"/>
      <c r="H37" s="476"/>
      <c r="I37" s="475"/>
      <c r="J37" s="477"/>
      <c r="K37" s="497">
        <f>IF(F37="",0,(VLOOKUP('wgl tot'!F37,saltab2019,'wgl tot'!G37+1,FALSE)))</f>
        <v>0</v>
      </c>
      <c r="L37" s="479">
        <f t="shared" si="0"/>
        <v>0</v>
      </c>
      <c r="M37" s="467"/>
      <c r="N37" s="497">
        <f>ROUND(IF(('wgl tot'!L37+'wgl tot'!P37)*BB37&lt;'wgl tot'!H37*tabellen!$D$43,'wgl tot'!H37*tabellen!$D$43,('wgl tot'!L37+'wgl tot'!P37)*BB37),2)</f>
        <v>0</v>
      </c>
      <c r="O37" s="497">
        <f>ROUND(+('wgl tot'!L37+'wgl tot'!P37)*BC37,2)</f>
        <v>0</v>
      </c>
      <c r="P37" s="497">
        <f>ROUND(IF(I37="j",VLOOKUP(AZ37,uitlooptoeslag,2,FALSE))*IF('wgl tot'!H37&gt;1,1,'wgl tot'!H37),2)</f>
        <v>0</v>
      </c>
      <c r="Q37" s="497">
        <f>ROUND(IF(BE37="j",tabellen!$D$52*IF('wgl tot'!H37&gt;1,1,'wgl tot'!H37),0),2)</f>
        <v>0</v>
      </c>
      <c r="R37" s="497">
        <f>IF(AND(F37&gt;0,F37&lt;17),tabellen!$C$37*'wgl tot'!H37,0)</f>
        <v>0</v>
      </c>
      <c r="S37" s="497">
        <f>VLOOKUP(BD37,eindejaarsuitkering_OOP,2,TRUE)*'wgl tot'!H37/12</f>
        <v>0</v>
      </c>
      <c r="T37" s="497">
        <f>ROUND('wgl tot'!H37*tabellen!$D$50,2)</f>
        <v>0</v>
      </c>
      <c r="U37" s="498">
        <f t="shared" si="1"/>
        <v>0</v>
      </c>
      <c r="V37" s="497">
        <f>('wgl tot'!L37+'wgl tot'!P37)*tabellen!$C$39*12</f>
        <v>0</v>
      </c>
      <c r="W37" s="479">
        <f t="shared" si="10"/>
        <v>0</v>
      </c>
      <c r="X37" s="467"/>
      <c r="Y37" s="498">
        <f t="shared" si="11"/>
        <v>0</v>
      </c>
      <c r="Z37" s="674">
        <f>+'wgl tot'!V37/12</f>
        <v>0</v>
      </c>
      <c r="AA37" s="467"/>
      <c r="AB37" s="497">
        <f>IF(F37="",0,(IF('wgl tot'!U37/'wgl tot'!H37&lt;tabellen!$E$6,0,('wgl tot'!U37-tabellen!$E$6*'wgl tot'!H37)/12)*tabellen!$C$6))</f>
        <v>0</v>
      </c>
      <c r="AC37" s="497">
        <f>IF(F37="",0,(IF('wgl tot'!U37/'wgl tot'!H37&lt;tabellen!$E$7,0,(+'wgl tot'!U37-tabellen!$E$7*'wgl tot'!H37)/12)*tabellen!$C$7))</f>
        <v>0</v>
      </c>
      <c r="AD37" s="497">
        <f>'wgl tot'!U37/12*tabellen!$C$8</f>
        <v>0</v>
      </c>
      <c r="AE37" s="497">
        <f>IF(H37=0,0,IF(BJ37&gt;tabellen!$G$9/12,tabellen!$G$9/12,BJ37)*(tabellen!$C$9+tabellen!$C$10))</f>
        <v>0</v>
      </c>
      <c r="AF37" s="497">
        <f>IF(F37="",0,('wgl tot'!BK37))</f>
        <v>0</v>
      </c>
      <c r="AG37" s="499">
        <f>IF(F37="",0,(IF('wgl tot'!BJ37&gt;tabellen!$G$12*'wgl tot'!H37/12,tabellen!$G$12*'wgl tot'!H37/12,'wgl tot'!BJ37)*tabellen!$C$12))</f>
        <v>0</v>
      </c>
      <c r="AH37" s="467"/>
      <c r="AI37" s="499">
        <f>IF(F37="",0,('wgl tot'!BJ37*IF(J37=1,tabellen!$C$13,IF(J37=2,tabellen!$C$14,IF(J37=3,tabellen!$C$15,tabellen!$C$16)))))</f>
        <v>0</v>
      </c>
      <c r="AJ37" s="499">
        <f>IF(F37="",0,('wgl tot'!BJ37*tabellen!$C$17))</f>
        <v>0</v>
      </c>
      <c r="AK37" s="679">
        <v>0</v>
      </c>
      <c r="AL37" s="467"/>
      <c r="AM37" s="479">
        <f t="shared" si="2"/>
        <v>0</v>
      </c>
      <c r="AN37" s="479">
        <f t="shared" si="12"/>
        <v>0</v>
      </c>
      <c r="AO37" s="467"/>
      <c r="AP37" s="503" t="str">
        <f t="shared" si="3"/>
        <v/>
      </c>
      <c r="AQ37" s="503" t="str">
        <f t="shared" si="4"/>
        <v/>
      </c>
      <c r="AR37" s="467"/>
      <c r="AS37" s="444"/>
      <c r="AT37" s="436"/>
      <c r="AU37" s="436"/>
      <c r="AV37" s="481">
        <f ca="1">YEAR('wgl tot'!$AV$9)-YEAR('wgl tot'!E37)</f>
        <v>118</v>
      </c>
      <c r="AW37" s="481">
        <f ca="1">MONTH('wgl tot'!$AV$9)-MONTH('wgl tot'!E37)</f>
        <v>8</v>
      </c>
      <c r="AX37" s="481">
        <f ca="1">DAY('wgl tot'!$AV$9)-DAY('wgl tot'!E37)</f>
        <v>21</v>
      </c>
      <c r="AY37" s="445">
        <f>IF(AND('wgl tot'!F37&gt;0,'wgl tot'!F37&lt;17),0,100)</f>
        <v>100</v>
      </c>
      <c r="AZ37" s="445">
        <f t="shared" si="5"/>
        <v>0</v>
      </c>
      <c r="BA37" s="464">
        <v>42583</v>
      </c>
      <c r="BB37" s="482">
        <f t="shared" si="15"/>
        <v>0.08</v>
      </c>
      <c r="BC37" s="483">
        <f>+tabellen!$D$44</f>
        <v>6.3E-2</v>
      </c>
      <c r="BD37" s="481">
        <f>IF('wgl tot'!AY37=100,0,'wgl tot'!F37)</f>
        <v>0</v>
      </c>
      <c r="BE37" s="483" t="str">
        <f>IF(OR('wgl tot'!F37="DA",'wgl tot'!F37="DB",'wgl tot'!F37="DBuit",'wgl tot'!F37="DC",'wgl tot'!F37="DCuit",MID('wgl tot'!F37,1,5)="meerh"),"j","n")</f>
        <v>n</v>
      </c>
      <c r="BF37" s="485" t="e">
        <f>IF('wgl tot'!U37/'wgl tot'!H37&lt;tabellen!$E$6,0,(+'wgl tot'!U37-tabellen!$E$6*'wgl tot'!H37)/12*tabellen!$D$6)</f>
        <v>#DIV/0!</v>
      </c>
      <c r="BG37" s="485" t="e">
        <f>IF('wgl tot'!U37/'wgl tot'!H37&lt;tabellen!$E$7,0,(+'wgl tot'!U37-tabellen!$E$7*'wgl tot'!H37)/12*tabellen!$D$7)</f>
        <v>#DIV/0!</v>
      </c>
      <c r="BH37" s="485">
        <f>'wgl tot'!U37/12*tabellen!$D$8</f>
        <v>0</v>
      </c>
      <c r="BI37" s="486" t="e">
        <f t="shared" si="16"/>
        <v>#DIV/0!</v>
      </c>
      <c r="BJ37" s="487" t="e">
        <f>+(U37+V37)/12-'wgl tot'!BI37</f>
        <v>#DIV/0!</v>
      </c>
      <c r="BK37" s="487" t="e">
        <f>ROUND(IF('wgl tot'!BJ37&gt;tabellen!$H$11,tabellen!$H$11,'wgl tot'!BJ37)*tabellen!$C$11,2)</f>
        <v>#DIV/0!</v>
      </c>
      <c r="BL37" s="487" t="e">
        <f>+'wgl tot'!BJ37+'wgl tot'!BK37</f>
        <v>#DIV/0!</v>
      </c>
      <c r="BM37" s="488">
        <f t="shared" si="7"/>
        <v>1900</v>
      </c>
      <c r="BN37" s="488">
        <f t="shared" si="8"/>
        <v>1</v>
      </c>
      <c r="BO37" s="481">
        <f t="shared" si="9"/>
        <v>0</v>
      </c>
      <c r="BP37" s="464">
        <f t="shared" si="13"/>
        <v>22462</v>
      </c>
      <c r="BQ37" s="464">
        <f t="shared" ca="1" si="14"/>
        <v>43364.939215393519</v>
      </c>
      <c r="BR37" s="445"/>
      <c r="BS37" s="464"/>
      <c r="BT37" s="445"/>
      <c r="BU37" s="484"/>
      <c r="BV37" s="484"/>
      <c r="BW37" s="484"/>
      <c r="BX37" s="484"/>
      <c r="BY37" s="484"/>
      <c r="BZ37" s="484"/>
      <c r="CA37" s="436"/>
      <c r="CB37" s="436"/>
    </row>
    <row r="38" spans="1:80" s="447" customFormat="1" ht="12" customHeight="1" x14ac:dyDescent="0.2">
      <c r="A38" s="436"/>
      <c r="B38" s="437"/>
      <c r="C38" s="467"/>
      <c r="D38" s="473"/>
      <c r="E38" s="474"/>
      <c r="F38" s="475"/>
      <c r="G38" s="475"/>
      <c r="H38" s="476"/>
      <c r="I38" s="475"/>
      <c r="J38" s="477"/>
      <c r="K38" s="497">
        <f>IF(F38="",0,(VLOOKUP('wgl tot'!F38,saltab2019,'wgl tot'!G38+1,FALSE)))</f>
        <v>0</v>
      </c>
      <c r="L38" s="479">
        <f t="shared" si="0"/>
        <v>0</v>
      </c>
      <c r="M38" s="467"/>
      <c r="N38" s="497">
        <f>ROUND(IF(('wgl tot'!L38+'wgl tot'!P38)*BB38&lt;'wgl tot'!H38*tabellen!$D$43,'wgl tot'!H38*tabellen!$D$43,('wgl tot'!L38+'wgl tot'!P38)*BB38),2)</f>
        <v>0</v>
      </c>
      <c r="O38" s="497">
        <f>ROUND(+('wgl tot'!L38+'wgl tot'!P38)*BC38,2)</f>
        <v>0</v>
      </c>
      <c r="P38" s="497">
        <f>ROUND(IF(I38="j",VLOOKUP(AZ38,uitlooptoeslag,2,FALSE))*IF('wgl tot'!H38&gt;1,1,'wgl tot'!H38),2)</f>
        <v>0</v>
      </c>
      <c r="Q38" s="497">
        <f>ROUND(IF(BE38="j",tabellen!$D$52*IF('wgl tot'!H38&gt;1,1,'wgl tot'!H38),0),2)</f>
        <v>0</v>
      </c>
      <c r="R38" s="497">
        <f>IF(AND(F38&gt;0,F38&lt;17),tabellen!$C$37*'wgl tot'!H38,0)</f>
        <v>0</v>
      </c>
      <c r="S38" s="497">
        <f>VLOOKUP(BD38,eindejaarsuitkering_OOP,2,TRUE)*'wgl tot'!H38/12</f>
        <v>0</v>
      </c>
      <c r="T38" s="497">
        <f>ROUND('wgl tot'!H38*tabellen!$D$50,2)</f>
        <v>0</v>
      </c>
      <c r="U38" s="498">
        <f t="shared" si="1"/>
        <v>0</v>
      </c>
      <c r="V38" s="497">
        <f>('wgl tot'!L38+'wgl tot'!P38)*tabellen!$C$39*12</f>
        <v>0</v>
      </c>
      <c r="W38" s="479">
        <f t="shared" si="10"/>
        <v>0</v>
      </c>
      <c r="X38" s="467"/>
      <c r="Y38" s="498">
        <f t="shared" si="11"/>
        <v>0</v>
      </c>
      <c r="Z38" s="674">
        <f>+'wgl tot'!V38/12</f>
        <v>0</v>
      </c>
      <c r="AA38" s="467"/>
      <c r="AB38" s="497">
        <f>IF(F38="",0,(IF('wgl tot'!U38/'wgl tot'!H38&lt;tabellen!$E$6,0,('wgl tot'!U38-tabellen!$E$6*'wgl tot'!H38)/12)*tabellen!$C$6))</f>
        <v>0</v>
      </c>
      <c r="AC38" s="497">
        <f>IF(F38="",0,(IF('wgl tot'!U38/'wgl tot'!H38&lt;tabellen!$E$7,0,(+'wgl tot'!U38-tabellen!$E$7*'wgl tot'!H38)/12)*tabellen!$C$7))</f>
        <v>0</v>
      </c>
      <c r="AD38" s="497">
        <f>'wgl tot'!U38/12*tabellen!$C$8</f>
        <v>0</v>
      </c>
      <c r="AE38" s="497">
        <f>IF(H38=0,0,IF(BJ38&gt;tabellen!$G$9/12,tabellen!$G$9/12,BJ38)*(tabellen!$C$9+tabellen!$C$10))</f>
        <v>0</v>
      </c>
      <c r="AF38" s="497">
        <f>IF(F38="",0,('wgl tot'!BK38))</f>
        <v>0</v>
      </c>
      <c r="AG38" s="499">
        <f>IF(F38="",0,(IF('wgl tot'!BJ38&gt;tabellen!$G$12*'wgl tot'!H38/12,tabellen!$G$12*'wgl tot'!H38/12,'wgl tot'!BJ38)*tabellen!$C$12))</f>
        <v>0</v>
      </c>
      <c r="AH38" s="467"/>
      <c r="AI38" s="499">
        <f>IF(F38="",0,('wgl tot'!BJ38*IF(J38=1,tabellen!$C$13,IF(J38=2,tabellen!$C$14,IF(J38=3,tabellen!$C$15,tabellen!$C$16)))))</f>
        <v>0</v>
      </c>
      <c r="AJ38" s="499">
        <f>IF(F38="",0,('wgl tot'!BJ38*tabellen!$C$17))</f>
        <v>0</v>
      </c>
      <c r="AK38" s="679">
        <v>0</v>
      </c>
      <c r="AL38" s="467"/>
      <c r="AM38" s="479">
        <f t="shared" si="2"/>
        <v>0</v>
      </c>
      <c r="AN38" s="479">
        <f t="shared" si="12"/>
        <v>0</v>
      </c>
      <c r="AO38" s="467"/>
      <c r="AP38" s="503" t="str">
        <f t="shared" si="3"/>
        <v/>
      </c>
      <c r="AQ38" s="503" t="str">
        <f t="shared" si="4"/>
        <v/>
      </c>
      <c r="AR38" s="467"/>
      <c r="AS38" s="444"/>
      <c r="AT38" s="436"/>
      <c r="AU38" s="436"/>
      <c r="AV38" s="481">
        <f ca="1">YEAR('wgl tot'!$AV$9)-YEAR('wgl tot'!E38)</f>
        <v>118</v>
      </c>
      <c r="AW38" s="481">
        <f ca="1">MONTH('wgl tot'!$AV$9)-MONTH('wgl tot'!E38)</f>
        <v>8</v>
      </c>
      <c r="AX38" s="481">
        <f ca="1">DAY('wgl tot'!$AV$9)-DAY('wgl tot'!E38)</f>
        <v>21</v>
      </c>
      <c r="AY38" s="445">
        <f>IF(AND('wgl tot'!F38&gt;0,'wgl tot'!F38&lt;17),0,100)</f>
        <v>100</v>
      </c>
      <c r="AZ38" s="445">
        <f t="shared" si="5"/>
        <v>0</v>
      </c>
      <c r="BA38" s="464">
        <v>42583</v>
      </c>
      <c r="BB38" s="482">
        <f t="shared" si="15"/>
        <v>0.08</v>
      </c>
      <c r="BC38" s="483">
        <f>+tabellen!$D$44</f>
        <v>6.3E-2</v>
      </c>
      <c r="BD38" s="481">
        <f>IF('wgl tot'!AY38=100,0,'wgl tot'!F38)</f>
        <v>0</v>
      </c>
      <c r="BE38" s="483" t="str">
        <f>IF(OR('wgl tot'!F38="DA",'wgl tot'!F38="DB",'wgl tot'!F38="DBuit",'wgl tot'!F38="DC",'wgl tot'!F38="DCuit",MID('wgl tot'!F38,1,5)="meerh"),"j","n")</f>
        <v>n</v>
      </c>
      <c r="BF38" s="485" t="e">
        <f>IF('wgl tot'!U38/'wgl tot'!H38&lt;tabellen!$E$6,0,(+'wgl tot'!U38-tabellen!$E$6*'wgl tot'!H38)/12*tabellen!$D$6)</f>
        <v>#DIV/0!</v>
      </c>
      <c r="BG38" s="485" t="e">
        <f>IF('wgl tot'!U38/'wgl tot'!H38&lt;tabellen!$E$7,0,(+'wgl tot'!U38-tabellen!$E$7*'wgl tot'!H38)/12*tabellen!$D$7)</f>
        <v>#DIV/0!</v>
      </c>
      <c r="BH38" s="485">
        <f>'wgl tot'!U38/12*tabellen!$D$8</f>
        <v>0</v>
      </c>
      <c r="BI38" s="486" t="e">
        <f t="shared" si="16"/>
        <v>#DIV/0!</v>
      </c>
      <c r="BJ38" s="487" t="e">
        <f>+(U38+V38)/12-'wgl tot'!BI38</f>
        <v>#DIV/0!</v>
      </c>
      <c r="BK38" s="487" t="e">
        <f>ROUND(IF('wgl tot'!BJ38&gt;tabellen!$H$11,tabellen!$H$11,'wgl tot'!BJ38)*tabellen!$C$11,2)</f>
        <v>#DIV/0!</v>
      </c>
      <c r="BL38" s="487" t="e">
        <f>+'wgl tot'!BJ38+'wgl tot'!BK38</f>
        <v>#DIV/0!</v>
      </c>
      <c r="BM38" s="488">
        <f t="shared" si="7"/>
        <v>1900</v>
      </c>
      <c r="BN38" s="488">
        <f t="shared" si="8"/>
        <v>1</v>
      </c>
      <c r="BO38" s="481">
        <f t="shared" si="9"/>
        <v>0</v>
      </c>
      <c r="BP38" s="464">
        <f t="shared" si="13"/>
        <v>22462</v>
      </c>
      <c r="BQ38" s="464">
        <f t="shared" ca="1" si="14"/>
        <v>43364.939215393519</v>
      </c>
      <c r="BR38" s="445"/>
      <c r="BS38" s="464"/>
      <c r="BT38" s="445"/>
      <c r="BU38" s="484"/>
      <c r="BV38" s="484"/>
      <c r="BW38" s="484"/>
      <c r="BX38" s="484"/>
      <c r="BY38" s="484"/>
      <c r="BZ38" s="484"/>
      <c r="CA38" s="436"/>
      <c r="CB38" s="436"/>
    </row>
    <row r="39" spans="1:80" s="447" customFormat="1" ht="12" customHeight="1" x14ac:dyDescent="0.2">
      <c r="A39" s="436"/>
      <c r="B39" s="437"/>
      <c r="C39" s="467"/>
      <c r="D39" s="473"/>
      <c r="E39" s="474"/>
      <c r="F39" s="475"/>
      <c r="G39" s="475"/>
      <c r="H39" s="476"/>
      <c r="I39" s="475"/>
      <c r="J39" s="477"/>
      <c r="K39" s="497">
        <f>IF(F39="",0,(VLOOKUP('wgl tot'!F39,saltab2019,'wgl tot'!G39+1,FALSE)))</f>
        <v>0</v>
      </c>
      <c r="L39" s="479">
        <f t="shared" si="0"/>
        <v>0</v>
      </c>
      <c r="M39" s="467"/>
      <c r="N39" s="497">
        <f>ROUND(IF(('wgl tot'!L39+'wgl tot'!P39)*BB39&lt;'wgl tot'!H39*tabellen!$D$43,'wgl tot'!H39*tabellen!$D$43,('wgl tot'!L39+'wgl tot'!P39)*BB39),2)</f>
        <v>0</v>
      </c>
      <c r="O39" s="497">
        <f>ROUND(+('wgl tot'!L39+'wgl tot'!P39)*BC39,2)</f>
        <v>0</v>
      </c>
      <c r="P39" s="497">
        <f>ROUND(IF(I39="j",VLOOKUP(AZ39,uitlooptoeslag,2,FALSE))*IF('wgl tot'!H39&gt;1,1,'wgl tot'!H39),2)</f>
        <v>0</v>
      </c>
      <c r="Q39" s="497">
        <f>ROUND(IF(BE39="j",tabellen!$D$52*IF('wgl tot'!H39&gt;1,1,'wgl tot'!H39),0),2)</f>
        <v>0</v>
      </c>
      <c r="R39" s="497">
        <f>IF(AND(F39&gt;0,F39&lt;17),tabellen!$C$37*'wgl tot'!H39,0)</f>
        <v>0</v>
      </c>
      <c r="S39" s="497">
        <f>VLOOKUP(BD39,eindejaarsuitkering_OOP,2,TRUE)*'wgl tot'!H39/12</f>
        <v>0</v>
      </c>
      <c r="T39" s="497">
        <f>ROUND('wgl tot'!H39*tabellen!$D$50,2)</f>
        <v>0</v>
      </c>
      <c r="U39" s="498">
        <f t="shared" si="1"/>
        <v>0</v>
      </c>
      <c r="V39" s="497">
        <f>('wgl tot'!L39+'wgl tot'!P39)*tabellen!$C$39*12</f>
        <v>0</v>
      </c>
      <c r="W39" s="479">
        <f t="shared" si="10"/>
        <v>0</v>
      </c>
      <c r="X39" s="467"/>
      <c r="Y39" s="498">
        <f t="shared" si="11"/>
        <v>0</v>
      </c>
      <c r="Z39" s="674">
        <f>+'wgl tot'!V39/12</f>
        <v>0</v>
      </c>
      <c r="AA39" s="467"/>
      <c r="AB39" s="497">
        <f>IF(F39="",0,(IF('wgl tot'!U39/'wgl tot'!H39&lt;tabellen!$E$6,0,('wgl tot'!U39-tabellen!$E$6*'wgl tot'!H39)/12)*tabellen!$C$6))</f>
        <v>0</v>
      </c>
      <c r="AC39" s="497">
        <f>IF(F39="",0,(IF('wgl tot'!U39/'wgl tot'!H39&lt;tabellen!$E$7,0,(+'wgl tot'!U39-tabellen!$E$7*'wgl tot'!H39)/12)*tabellen!$C$7))</f>
        <v>0</v>
      </c>
      <c r="AD39" s="497">
        <f>'wgl tot'!U39/12*tabellen!$C$8</f>
        <v>0</v>
      </c>
      <c r="AE39" s="497">
        <f>IF(H39=0,0,IF(BJ39&gt;tabellen!$G$9/12,tabellen!$G$9/12,BJ39)*(tabellen!$C$9+tabellen!$C$10))</f>
        <v>0</v>
      </c>
      <c r="AF39" s="497">
        <f>IF(F39="",0,('wgl tot'!BK39))</f>
        <v>0</v>
      </c>
      <c r="AG39" s="499">
        <f>IF(F39="",0,(IF('wgl tot'!BJ39&gt;tabellen!$G$12*'wgl tot'!H39/12,tabellen!$G$12*'wgl tot'!H39/12,'wgl tot'!BJ39)*tabellen!$C$12))</f>
        <v>0</v>
      </c>
      <c r="AH39" s="467"/>
      <c r="AI39" s="499">
        <f>IF(F39="",0,('wgl tot'!BJ39*IF(J39=1,tabellen!$C$13,IF(J39=2,tabellen!$C$14,IF(J39=3,tabellen!$C$15,tabellen!$C$16)))))</f>
        <v>0</v>
      </c>
      <c r="AJ39" s="499">
        <f>IF(F39="",0,('wgl tot'!BJ39*tabellen!$C$17))</f>
        <v>0</v>
      </c>
      <c r="AK39" s="679">
        <v>0</v>
      </c>
      <c r="AL39" s="467"/>
      <c r="AM39" s="479">
        <f t="shared" si="2"/>
        <v>0</v>
      </c>
      <c r="AN39" s="479">
        <f t="shared" si="12"/>
        <v>0</v>
      </c>
      <c r="AO39" s="467"/>
      <c r="AP39" s="503" t="str">
        <f t="shared" si="3"/>
        <v/>
      </c>
      <c r="AQ39" s="503" t="str">
        <f t="shared" si="4"/>
        <v/>
      </c>
      <c r="AR39" s="467"/>
      <c r="AS39" s="444"/>
      <c r="AT39" s="436"/>
      <c r="AU39" s="436"/>
      <c r="AV39" s="481">
        <f ca="1">YEAR('wgl tot'!$AV$9)-YEAR('wgl tot'!E39)</f>
        <v>118</v>
      </c>
      <c r="AW39" s="481">
        <f ca="1">MONTH('wgl tot'!$AV$9)-MONTH('wgl tot'!E39)</f>
        <v>8</v>
      </c>
      <c r="AX39" s="481">
        <f ca="1">DAY('wgl tot'!$AV$9)-DAY('wgl tot'!E39)</f>
        <v>21</v>
      </c>
      <c r="AY39" s="445">
        <f>IF(AND('wgl tot'!F39&gt;0,'wgl tot'!F39&lt;17),0,100)</f>
        <v>100</v>
      </c>
      <c r="AZ39" s="445">
        <f t="shared" si="5"/>
        <v>0</v>
      </c>
      <c r="BA39" s="464">
        <v>42583</v>
      </c>
      <c r="BB39" s="482">
        <f t="shared" si="15"/>
        <v>0.08</v>
      </c>
      <c r="BC39" s="483">
        <f>+tabellen!$D$44</f>
        <v>6.3E-2</v>
      </c>
      <c r="BD39" s="481">
        <f>IF('wgl tot'!AY39=100,0,'wgl tot'!F39)</f>
        <v>0</v>
      </c>
      <c r="BE39" s="483" t="str">
        <f>IF(OR('wgl tot'!F39="DA",'wgl tot'!F39="DB",'wgl tot'!F39="DBuit",'wgl tot'!F39="DC",'wgl tot'!F39="DCuit",MID('wgl tot'!F39,1,5)="meerh"),"j","n")</f>
        <v>n</v>
      </c>
      <c r="BF39" s="485" t="e">
        <f>IF('wgl tot'!U39/'wgl tot'!H39&lt;tabellen!$E$6,0,(+'wgl tot'!U39-tabellen!$E$6*'wgl tot'!H39)/12*tabellen!$D$6)</f>
        <v>#DIV/0!</v>
      </c>
      <c r="BG39" s="485" t="e">
        <f>IF('wgl tot'!U39/'wgl tot'!H39&lt;tabellen!$E$7,0,(+'wgl tot'!U39-tabellen!$E$7*'wgl tot'!H39)/12*tabellen!$D$7)</f>
        <v>#DIV/0!</v>
      </c>
      <c r="BH39" s="485">
        <f>'wgl tot'!U39/12*tabellen!$D$8</f>
        <v>0</v>
      </c>
      <c r="BI39" s="486" t="e">
        <f t="shared" si="16"/>
        <v>#DIV/0!</v>
      </c>
      <c r="BJ39" s="487" t="e">
        <f>+(U39+V39)/12-'wgl tot'!BI39</f>
        <v>#DIV/0!</v>
      </c>
      <c r="BK39" s="487" t="e">
        <f>ROUND(IF('wgl tot'!BJ39&gt;tabellen!$H$11,tabellen!$H$11,'wgl tot'!BJ39)*tabellen!$C$11,2)</f>
        <v>#DIV/0!</v>
      </c>
      <c r="BL39" s="487" t="e">
        <f>+'wgl tot'!BJ39+'wgl tot'!BK39</f>
        <v>#DIV/0!</v>
      </c>
      <c r="BM39" s="488">
        <f t="shared" si="7"/>
        <v>1900</v>
      </c>
      <c r="BN39" s="488">
        <f t="shared" si="8"/>
        <v>1</v>
      </c>
      <c r="BO39" s="481">
        <f t="shared" si="9"/>
        <v>0</v>
      </c>
      <c r="BP39" s="464">
        <f t="shared" si="13"/>
        <v>22462</v>
      </c>
      <c r="BQ39" s="464">
        <f t="shared" ca="1" si="14"/>
        <v>43364.939215393519</v>
      </c>
      <c r="BR39" s="445"/>
      <c r="BS39" s="464"/>
      <c r="BT39" s="445"/>
      <c r="BU39" s="484"/>
      <c r="BV39" s="484"/>
      <c r="BW39" s="484"/>
      <c r="BX39" s="484"/>
      <c r="BY39" s="484"/>
      <c r="BZ39" s="484"/>
      <c r="CA39" s="436"/>
      <c r="CB39" s="436"/>
    </row>
    <row r="40" spans="1:80" s="447" customFormat="1" ht="12" customHeight="1" x14ac:dyDescent="0.2">
      <c r="A40" s="436"/>
      <c r="B40" s="437"/>
      <c r="C40" s="467"/>
      <c r="D40" s="473"/>
      <c r="E40" s="474"/>
      <c r="F40" s="475"/>
      <c r="G40" s="475"/>
      <c r="H40" s="476"/>
      <c r="I40" s="475"/>
      <c r="J40" s="477"/>
      <c r="K40" s="497">
        <f>IF(F40="",0,(VLOOKUP('wgl tot'!F40,saltab2019,'wgl tot'!G40+1,FALSE)))</f>
        <v>0</v>
      </c>
      <c r="L40" s="479">
        <f t="shared" si="0"/>
        <v>0</v>
      </c>
      <c r="M40" s="467"/>
      <c r="N40" s="497">
        <f>ROUND(IF(('wgl tot'!L40+'wgl tot'!P40)*BB40&lt;'wgl tot'!H40*tabellen!$D$43,'wgl tot'!H40*tabellen!$D$43,('wgl tot'!L40+'wgl tot'!P40)*BB40),2)</f>
        <v>0</v>
      </c>
      <c r="O40" s="497">
        <f>ROUND(+('wgl tot'!L40+'wgl tot'!P40)*BC40,2)</f>
        <v>0</v>
      </c>
      <c r="P40" s="497">
        <f>ROUND(IF(I40="j",VLOOKUP(AZ40,uitlooptoeslag,2,FALSE))*IF('wgl tot'!H40&gt;1,1,'wgl tot'!H40),2)</f>
        <v>0</v>
      </c>
      <c r="Q40" s="497">
        <f>ROUND(IF(BE40="j",tabellen!$D$52*IF('wgl tot'!H40&gt;1,1,'wgl tot'!H40),0),2)</f>
        <v>0</v>
      </c>
      <c r="R40" s="497">
        <f>IF(AND(F40&gt;0,F40&lt;17),tabellen!$C$37*'wgl tot'!H40,0)</f>
        <v>0</v>
      </c>
      <c r="S40" s="497">
        <f>VLOOKUP(BD40,eindejaarsuitkering_OOP,2,TRUE)*'wgl tot'!H40/12</f>
        <v>0</v>
      </c>
      <c r="T40" s="497">
        <f>ROUND('wgl tot'!H40*tabellen!$D$50,2)</f>
        <v>0</v>
      </c>
      <c r="U40" s="498">
        <f t="shared" si="1"/>
        <v>0</v>
      </c>
      <c r="V40" s="497">
        <f>('wgl tot'!L40+'wgl tot'!P40)*tabellen!$C$39*12</f>
        <v>0</v>
      </c>
      <c r="W40" s="479">
        <f t="shared" si="10"/>
        <v>0</v>
      </c>
      <c r="X40" s="467"/>
      <c r="Y40" s="498">
        <f t="shared" si="11"/>
        <v>0</v>
      </c>
      <c r="Z40" s="674">
        <f>+'wgl tot'!V40/12</f>
        <v>0</v>
      </c>
      <c r="AA40" s="467"/>
      <c r="AB40" s="497">
        <f>IF(F40="",0,(IF('wgl tot'!U40/'wgl tot'!H40&lt;tabellen!$E$6,0,('wgl tot'!U40-tabellen!$E$6*'wgl tot'!H40)/12)*tabellen!$C$6))</f>
        <v>0</v>
      </c>
      <c r="AC40" s="497">
        <f>IF(F40="",0,(IF('wgl tot'!U40/'wgl tot'!H40&lt;tabellen!$E$7,0,(+'wgl tot'!U40-tabellen!$E$7*'wgl tot'!H40)/12)*tabellen!$C$7))</f>
        <v>0</v>
      </c>
      <c r="AD40" s="497">
        <f>'wgl tot'!U40/12*tabellen!$C$8</f>
        <v>0</v>
      </c>
      <c r="AE40" s="497">
        <f>IF(H40=0,0,IF(BJ40&gt;tabellen!$G$9/12,tabellen!$G$9/12,BJ40)*(tabellen!$C$9+tabellen!$C$10))</f>
        <v>0</v>
      </c>
      <c r="AF40" s="497">
        <f>IF(F40="",0,('wgl tot'!BK40))</f>
        <v>0</v>
      </c>
      <c r="AG40" s="499">
        <f>IF(F40="",0,(IF('wgl tot'!BJ40&gt;tabellen!$G$12*'wgl tot'!H40/12,tabellen!$G$12*'wgl tot'!H40/12,'wgl tot'!BJ40)*tabellen!$C$12))</f>
        <v>0</v>
      </c>
      <c r="AH40" s="467"/>
      <c r="AI40" s="499">
        <f>IF(F40="",0,('wgl tot'!BJ40*IF(J40=1,tabellen!$C$13,IF(J40=2,tabellen!$C$14,IF(J40=3,tabellen!$C$15,tabellen!$C$16)))))</f>
        <v>0</v>
      </c>
      <c r="AJ40" s="499">
        <f>IF(F40="",0,('wgl tot'!BJ40*tabellen!$C$17))</f>
        <v>0</v>
      </c>
      <c r="AK40" s="679">
        <v>0</v>
      </c>
      <c r="AL40" s="467"/>
      <c r="AM40" s="479">
        <f t="shared" si="2"/>
        <v>0</v>
      </c>
      <c r="AN40" s="479">
        <f t="shared" si="12"/>
        <v>0</v>
      </c>
      <c r="AO40" s="467"/>
      <c r="AP40" s="503" t="str">
        <f t="shared" si="3"/>
        <v/>
      </c>
      <c r="AQ40" s="503" t="str">
        <f t="shared" si="4"/>
        <v/>
      </c>
      <c r="AR40" s="467"/>
      <c r="AS40" s="444"/>
      <c r="AT40" s="436"/>
      <c r="AU40" s="436"/>
      <c r="AV40" s="481">
        <f ca="1">YEAR('wgl tot'!$AV$9)-YEAR('wgl tot'!E40)</f>
        <v>118</v>
      </c>
      <c r="AW40" s="481">
        <f ca="1">MONTH('wgl tot'!$AV$9)-MONTH('wgl tot'!E40)</f>
        <v>8</v>
      </c>
      <c r="AX40" s="481">
        <f ca="1">DAY('wgl tot'!$AV$9)-DAY('wgl tot'!E40)</f>
        <v>21</v>
      </c>
      <c r="AY40" s="445">
        <f>IF(AND('wgl tot'!F40&gt;0,'wgl tot'!F40&lt;17),0,100)</f>
        <v>100</v>
      </c>
      <c r="AZ40" s="445">
        <f t="shared" si="5"/>
        <v>0</v>
      </c>
      <c r="BA40" s="464">
        <v>42583</v>
      </c>
      <c r="BB40" s="482">
        <f t="shared" si="15"/>
        <v>0.08</v>
      </c>
      <c r="BC40" s="483">
        <f>+tabellen!$D$44</f>
        <v>6.3E-2</v>
      </c>
      <c r="BD40" s="481">
        <f>IF('wgl tot'!AY40=100,0,'wgl tot'!F40)</f>
        <v>0</v>
      </c>
      <c r="BE40" s="483" t="str">
        <f>IF(OR('wgl tot'!F40="DA",'wgl tot'!F40="DB",'wgl tot'!F40="DBuit",'wgl tot'!F40="DC",'wgl tot'!F40="DCuit",MID('wgl tot'!F40,1,5)="meerh"),"j","n")</f>
        <v>n</v>
      </c>
      <c r="BF40" s="485" t="e">
        <f>IF('wgl tot'!U40/'wgl tot'!H40&lt;tabellen!$E$6,0,(+'wgl tot'!U40-tabellen!$E$6*'wgl tot'!H40)/12*tabellen!$D$6)</f>
        <v>#DIV/0!</v>
      </c>
      <c r="BG40" s="485" t="e">
        <f>IF('wgl tot'!U40/'wgl tot'!H40&lt;tabellen!$E$7,0,(+'wgl tot'!U40-tabellen!$E$7*'wgl tot'!H40)/12*tabellen!$D$7)</f>
        <v>#DIV/0!</v>
      </c>
      <c r="BH40" s="485">
        <f>'wgl tot'!U40/12*tabellen!$D$8</f>
        <v>0</v>
      </c>
      <c r="BI40" s="486" t="e">
        <f t="shared" si="16"/>
        <v>#DIV/0!</v>
      </c>
      <c r="BJ40" s="487" t="e">
        <f>+(U40+V40)/12-'wgl tot'!BI40</f>
        <v>#DIV/0!</v>
      </c>
      <c r="BK40" s="487" t="e">
        <f>ROUND(IF('wgl tot'!BJ40&gt;tabellen!$H$11,tabellen!$H$11,'wgl tot'!BJ40)*tabellen!$C$11,2)</f>
        <v>#DIV/0!</v>
      </c>
      <c r="BL40" s="487" t="e">
        <f>+'wgl tot'!BJ40+'wgl tot'!BK40</f>
        <v>#DIV/0!</v>
      </c>
      <c r="BM40" s="488">
        <f t="shared" si="7"/>
        <v>1900</v>
      </c>
      <c r="BN40" s="488">
        <f t="shared" si="8"/>
        <v>1</v>
      </c>
      <c r="BO40" s="481">
        <f t="shared" si="9"/>
        <v>0</v>
      </c>
      <c r="BP40" s="464">
        <f t="shared" si="13"/>
        <v>22462</v>
      </c>
      <c r="BQ40" s="464">
        <f t="shared" ca="1" si="14"/>
        <v>43364.939215393519</v>
      </c>
      <c r="BR40" s="445"/>
      <c r="BS40" s="464"/>
      <c r="BT40" s="445"/>
      <c r="BU40" s="484"/>
      <c r="BV40" s="484"/>
      <c r="BW40" s="484"/>
      <c r="BX40" s="484"/>
      <c r="BY40" s="484"/>
      <c r="BZ40" s="484"/>
      <c r="CA40" s="436"/>
      <c r="CB40" s="436"/>
    </row>
    <row r="41" spans="1:80" s="447" customFormat="1" ht="12" customHeight="1" x14ac:dyDescent="0.2">
      <c r="A41" s="436"/>
      <c r="B41" s="437"/>
      <c r="C41" s="467"/>
      <c r="D41" s="473"/>
      <c r="E41" s="474"/>
      <c r="F41" s="475"/>
      <c r="G41" s="475"/>
      <c r="H41" s="476"/>
      <c r="I41" s="475"/>
      <c r="J41" s="477"/>
      <c r="K41" s="497">
        <f>IF(F41="",0,(VLOOKUP('wgl tot'!F41,saltab2019,'wgl tot'!G41+1,FALSE)))</f>
        <v>0</v>
      </c>
      <c r="L41" s="479">
        <f t="shared" si="0"/>
        <v>0</v>
      </c>
      <c r="M41" s="467"/>
      <c r="N41" s="497">
        <f>ROUND(IF(('wgl tot'!L41+'wgl tot'!P41)*BB41&lt;'wgl tot'!H41*tabellen!$D$43,'wgl tot'!H41*tabellen!$D$43,('wgl tot'!L41+'wgl tot'!P41)*BB41),2)</f>
        <v>0</v>
      </c>
      <c r="O41" s="497">
        <f>ROUND(+('wgl tot'!L41+'wgl tot'!P41)*BC41,2)</f>
        <v>0</v>
      </c>
      <c r="P41" s="497">
        <f>ROUND(IF(I41="j",VLOOKUP(AZ41,uitlooptoeslag,2,FALSE))*IF('wgl tot'!H41&gt;1,1,'wgl tot'!H41),2)</f>
        <v>0</v>
      </c>
      <c r="Q41" s="497">
        <f>ROUND(IF(BE41="j",tabellen!$D$52*IF('wgl tot'!H41&gt;1,1,'wgl tot'!H41),0),2)</f>
        <v>0</v>
      </c>
      <c r="R41" s="497">
        <f>IF(AND(F41&gt;0,F41&lt;17),tabellen!$C$37*'wgl tot'!H41,0)</f>
        <v>0</v>
      </c>
      <c r="S41" s="497">
        <f>VLOOKUP(BD41,eindejaarsuitkering_OOP,2,TRUE)*'wgl tot'!H41/12</f>
        <v>0</v>
      </c>
      <c r="T41" s="497">
        <f>ROUND('wgl tot'!H41*tabellen!$D$50,2)</f>
        <v>0</v>
      </c>
      <c r="U41" s="498">
        <f t="shared" si="1"/>
        <v>0</v>
      </c>
      <c r="V41" s="497">
        <f>('wgl tot'!L41+'wgl tot'!P41)*tabellen!$C$39*12</f>
        <v>0</v>
      </c>
      <c r="W41" s="479">
        <f t="shared" si="10"/>
        <v>0</v>
      </c>
      <c r="X41" s="467"/>
      <c r="Y41" s="498">
        <f t="shared" si="11"/>
        <v>0</v>
      </c>
      <c r="Z41" s="674">
        <f>+'wgl tot'!V41/12</f>
        <v>0</v>
      </c>
      <c r="AA41" s="467"/>
      <c r="AB41" s="497">
        <f>IF(F41="",0,(IF('wgl tot'!U41/'wgl tot'!H41&lt;tabellen!$E$6,0,('wgl tot'!U41-tabellen!$E$6*'wgl tot'!H41)/12)*tabellen!$C$6))</f>
        <v>0</v>
      </c>
      <c r="AC41" s="497">
        <f>IF(F41="",0,(IF('wgl tot'!U41/'wgl tot'!H41&lt;tabellen!$E$7,0,(+'wgl tot'!U41-tabellen!$E$7*'wgl tot'!H41)/12)*tabellen!$C$7))</f>
        <v>0</v>
      </c>
      <c r="AD41" s="497">
        <f>'wgl tot'!U41/12*tabellen!$C$8</f>
        <v>0</v>
      </c>
      <c r="AE41" s="497">
        <f>IF(H41=0,0,IF(BJ41&gt;tabellen!$G$9/12,tabellen!$G$9/12,BJ41)*(tabellen!$C$9+tabellen!$C$10))</f>
        <v>0</v>
      </c>
      <c r="AF41" s="497">
        <f>IF(F41="",0,('wgl tot'!BK41))</f>
        <v>0</v>
      </c>
      <c r="AG41" s="499">
        <f>IF(F41="",0,(IF('wgl tot'!BJ41&gt;tabellen!$G$12*'wgl tot'!H41/12,tabellen!$G$12*'wgl tot'!H41/12,'wgl tot'!BJ41)*tabellen!$C$12))</f>
        <v>0</v>
      </c>
      <c r="AH41" s="467"/>
      <c r="AI41" s="499">
        <f>IF(F41="",0,('wgl tot'!BJ41*IF(J41=1,tabellen!$C$13,IF(J41=2,tabellen!$C$14,IF(J41=3,tabellen!$C$15,tabellen!$C$16)))))</f>
        <v>0</v>
      </c>
      <c r="AJ41" s="499">
        <f>IF(F41="",0,('wgl tot'!BJ41*tabellen!$C$17))</f>
        <v>0</v>
      </c>
      <c r="AK41" s="679">
        <v>0</v>
      </c>
      <c r="AL41" s="467"/>
      <c r="AM41" s="479">
        <f t="shared" si="2"/>
        <v>0</v>
      </c>
      <c r="AN41" s="479">
        <f t="shared" si="12"/>
        <v>0</v>
      </c>
      <c r="AO41" s="467"/>
      <c r="AP41" s="503" t="str">
        <f t="shared" si="3"/>
        <v/>
      </c>
      <c r="AQ41" s="503" t="str">
        <f t="shared" si="4"/>
        <v/>
      </c>
      <c r="AR41" s="467"/>
      <c r="AS41" s="444"/>
      <c r="AT41" s="436"/>
      <c r="AU41" s="436"/>
      <c r="AV41" s="481">
        <f ca="1">YEAR('wgl tot'!$AV$9)-YEAR('wgl tot'!E41)</f>
        <v>118</v>
      </c>
      <c r="AW41" s="481">
        <f ca="1">MONTH('wgl tot'!$AV$9)-MONTH('wgl tot'!E41)</f>
        <v>8</v>
      </c>
      <c r="AX41" s="481">
        <f ca="1">DAY('wgl tot'!$AV$9)-DAY('wgl tot'!E41)</f>
        <v>21</v>
      </c>
      <c r="AY41" s="445">
        <f>IF(AND('wgl tot'!F41&gt;0,'wgl tot'!F41&lt;17),0,100)</f>
        <v>100</v>
      </c>
      <c r="AZ41" s="445">
        <f t="shared" si="5"/>
        <v>0</v>
      </c>
      <c r="BA41" s="464">
        <v>42583</v>
      </c>
      <c r="BB41" s="482">
        <f t="shared" si="15"/>
        <v>0.08</v>
      </c>
      <c r="BC41" s="483">
        <f>+tabellen!$D$44</f>
        <v>6.3E-2</v>
      </c>
      <c r="BD41" s="481">
        <f>IF('wgl tot'!AY41=100,0,'wgl tot'!F41)</f>
        <v>0</v>
      </c>
      <c r="BE41" s="483" t="str">
        <f>IF(OR('wgl tot'!F41="DA",'wgl tot'!F41="DB",'wgl tot'!F41="DBuit",'wgl tot'!F41="DC",'wgl tot'!F41="DCuit",MID('wgl tot'!F41,1,5)="meerh"),"j","n")</f>
        <v>n</v>
      </c>
      <c r="BF41" s="485" t="e">
        <f>IF('wgl tot'!U41/'wgl tot'!H41&lt;tabellen!$E$6,0,(+'wgl tot'!U41-tabellen!$E$6*'wgl tot'!H41)/12*tabellen!$D$6)</f>
        <v>#DIV/0!</v>
      </c>
      <c r="BG41" s="485" t="e">
        <f>IF('wgl tot'!U41/'wgl tot'!H41&lt;tabellen!$E$7,0,(+'wgl tot'!U41-tabellen!$E$7*'wgl tot'!H41)/12*tabellen!$D$7)</f>
        <v>#DIV/0!</v>
      </c>
      <c r="BH41" s="485">
        <f>'wgl tot'!U41/12*tabellen!$D$8</f>
        <v>0</v>
      </c>
      <c r="BI41" s="486" t="e">
        <f t="shared" si="16"/>
        <v>#DIV/0!</v>
      </c>
      <c r="BJ41" s="487" t="e">
        <f>+(U41+V41)/12-'wgl tot'!BI41</f>
        <v>#DIV/0!</v>
      </c>
      <c r="BK41" s="487" t="e">
        <f>ROUND(IF('wgl tot'!BJ41&gt;tabellen!$H$11,tabellen!$H$11,'wgl tot'!BJ41)*tabellen!$C$11,2)</f>
        <v>#DIV/0!</v>
      </c>
      <c r="BL41" s="487" t="e">
        <f>+'wgl tot'!BJ41+'wgl tot'!BK41</f>
        <v>#DIV/0!</v>
      </c>
      <c r="BM41" s="488">
        <f t="shared" si="7"/>
        <v>1900</v>
      </c>
      <c r="BN41" s="488">
        <f t="shared" si="8"/>
        <v>1</v>
      </c>
      <c r="BO41" s="481">
        <f t="shared" si="9"/>
        <v>0</v>
      </c>
      <c r="BP41" s="464">
        <f t="shared" si="13"/>
        <v>22462</v>
      </c>
      <c r="BQ41" s="464">
        <f t="shared" ca="1" si="14"/>
        <v>43364.939215393519</v>
      </c>
      <c r="BR41" s="445"/>
      <c r="BS41" s="464"/>
      <c r="BT41" s="445"/>
      <c r="BU41" s="484"/>
      <c r="BV41" s="484"/>
      <c r="BW41" s="484"/>
      <c r="BX41" s="484"/>
      <c r="BY41" s="484"/>
      <c r="BZ41" s="484"/>
      <c r="CA41" s="436"/>
      <c r="CB41" s="436"/>
    </row>
    <row r="42" spans="1:80" s="447" customFormat="1" ht="12" customHeight="1" x14ac:dyDescent="0.2">
      <c r="A42" s="436"/>
      <c r="B42" s="437"/>
      <c r="C42" s="467"/>
      <c r="D42" s="473"/>
      <c r="E42" s="474"/>
      <c r="F42" s="475"/>
      <c r="G42" s="475"/>
      <c r="H42" s="476"/>
      <c r="I42" s="475"/>
      <c r="J42" s="477"/>
      <c r="K42" s="497">
        <f>IF(F42="",0,(VLOOKUP('wgl tot'!F42,saltab2019,'wgl tot'!G42+1,FALSE)))</f>
        <v>0</v>
      </c>
      <c r="L42" s="479">
        <f t="shared" si="0"/>
        <v>0</v>
      </c>
      <c r="M42" s="467"/>
      <c r="N42" s="497">
        <f>ROUND(IF(('wgl tot'!L42+'wgl tot'!P42)*BB42&lt;'wgl tot'!H42*tabellen!$D$43,'wgl tot'!H42*tabellen!$D$43,('wgl tot'!L42+'wgl tot'!P42)*BB42),2)</f>
        <v>0</v>
      </c>
      <c r="O42" s="497">
        <f>ROUND(+('wgl tot'!L42+'wgl tot'!P42)*BC42,2)</f>
        <v>0</v>
      </c>
      <c r="P42" s="497">
        <f>ROUND(IF(I42="j",VLOOKUP(AZ42,uitlooptoeslag,2,FALSE))*IF('wgl tot'!H42&gt;1,1,'wgl tot'!H42),2)</f>
        <v>0</v>
      </c>
      <c r="Q42" s="497">
        <f>ROUND(IF(BE42="j",tabellen!$D$52*IF('wgl tot'!H42&gt;1,1,'wgl tot'!H42),0),2)</f>
        <v>0</v>
      </c>
      <c r="R42" s="497">
        <f>IF(AND(F42&gt;0,F42&lt;17),tabellen!$C$37*'wgl tot'!H42,0)</f>
        <v>0</v>
      </c>
      <c r="S42" s="497">
        <f>VLOOKUP(BD42,eindejaarsuitkering_OOP,2,TRUE)*'wgl tot'!H42/12</f>
        <v>0</v>
      </c>
      <c r="T42" s="497">
        <f>ROUND('wgl tot'!H42*tabellen!$D$50,2)</f>
        <v>0</v>
      </c>
      <c r="U42" s="498">
        <f t="shared" si="1"/>
        <v>0</v>
      </c>
      <c r="V42" s="497">
        <f>('wgl tot'!L42+'wgl tot'!P42)*tabellen!$C$39*12</f>
        <v>0</v>
      </c>
      <c r="W42" s="479">
        <f t="shared" si="10"/>
        <v>0</v>
      </c>
      <c r="X42" s="467"/>
      <c r="Y42" s="498">
        <f t="shared" si="11"/>
        <v>0</v>
      </c>
      <c r="Z42" s="674">
        <f>+'wgl tot'!V42/12</f>
        <v>0</v>
      </c>
      <c r="AA42" s="467"/>
      <c r="AB42" s="497">
        <f>IF(F42="",0,(IF('wgl tot'!U42/'wgl tot'!H42&lt;tabellen!$E$6,0,('wgl tot'!U42-tabellen!$E$6*'wgl tot'!H42)/12)*tabellen!$C$6))</f>
        <v>0</v>
      </c>
      <c r="AC42" s="497">
        <f>IF(F42="",0,(IF('wgl tot'!U42/'wgl tot'!H42&lt;tabellen!$E$7,0,(+'wgl tot'!U42-tabellen!$E$7*'wgl tot'!H42)/12)*tabellen!$C$7))</f>
        <v>0</v>
      </c>
      <c r="AD42" s="497">
        <f>'wgl tot'!U42/12*tabellen!$C$8</f>
        <v>0</v>
      </c>
      <c r="AE42" s="497">
        <f>IF(H42=0,0,IF(BJ42&gt;tabellen!$G$9/12,tabellen!$G$9/12,BJ42)*(tabellen!$C$9+tabellen!$C$10))</f>
        <v>0</v>
      </c>
      <c r="AF42" s="497">
        <f>IF(F42="",0,('wgl tot'!BK42))</f>
        <v>0</v>
      </c>
      <c r="AG42" s="499">
        <f>IF(F42="",0,(IF('wgl tot'!BJ42&gt;tabellen!$G$12*'wgl tot'!H42/12,tabellen!$G$12*'wgl tot'!H42/12,'wgl tot'!BJ42)*tabellen!$C$12))</f>
        <v>0</v>
      </c>
      <c r="AH42" s="467"/>
      <c r="AI42" s="499">
        <f>IF(F42="",0,('wgl tot'!BJ42*IF(J42=1,tabellen!$C$13,IF(J42=2,tabellen!$C$14,IF(J42=3,tabellen!$C$15,tabellen!$C$16)))))</f>
        <v>0</v>
      </c>
      <c r="AJ42" s="499">
        <f>IF(F42="",0,('wgl tot'!BJ42*tabellen!$C$17))</f>
        <v>0</v>
      </c>
      <c r="AK42" s="679">
        <v>0</v>
      </c>
      <c r="AL42" s="467"/>
      <c r="AM42" s="479">
        <f t="shared" si="2"/>
        <v>0</v>
      </c>
      <c r="AN42" s="479">
        <f t="shared" si="12"/>
        <v>0</v>
      </c>
      <c r="AO42" s="467"/>
      <c r="AP42" s="503" t="str">
        <f t="shared" si="3"/>
        <v/>
      </c>
      <c r="AQ42" s="503" t="str">
        <f t="shared" si="4"/>
        <v/>
      </c>
      <c r="AR42" s="467"/>
      <c r="AS42" s="444"/>
      <c r="AT42" s="436"/>
      <c r="AU42" s="436"/>
      <c r="AV42" s="481">
        <f ca="1">YEAR('wgl tot'!$AV$9)-YEAR('wgl tot'!E42)</f>
        <v>118</v>
      </c>
      <c r="AW42" s="481">
        <f ca="1">MONTH('wgl tot'!$AV$9)-MONTH('wgl tot'!E42)</f>
        <v>8</v>
      </c>
      <c r="AX42" s="481">
        <f ca="1">DAY('wgl tot'!$AV$9)-DAY('wgl tot'!E42)</f>
        <v>21</v>
      </c>
      <c r="AY42" s="445">
        <f>IF(AND('wgl tot'!F42&gt;0,'wgl tot'!F42&lt;17),0,100)</f>
        <v>100</v>
      </c>
      <c r="AZ42" s="445">
        <f t="shared" si="5"/>
        <v>0</v>
      </c>
      <c r="BA42" s="464">
        <v>42583</v>
      </c>
      <c r="BB42" s="482">
        <f t="shared" si="15"/>
        <v>0.08</v>
      </c>
      <c r="BC42" s="483">
        <f>+tabellen!$D$44</f>
        <v>6.3E-2</v>
      </c>
      <c r="BD42" s="481">
        <f>IF('wgl tot'!AY42=100,0,'wgl tot'!F42)</f>
        <v>0</v>
      </c>
      <c r="BE42" s="483" t="str">
        <f>IF(OR('wgl tot'!F42="DA",'wgl tot'!F42="DB",'wgl tot'!F42="DBuit",'wgl tot'!F42="DC",'wgl tot'!F42="DCuit",MID('wgl tot'!F42,1,5)="meerh"),"j","n")</f>
        <v>n</v>
      </c>
      <c r="BF42" s="485" t="e">
        <f>IF('wgl tot'!U42/'wgl tot'!H42&lt;tabellen!$E$6,0,(+'wgl tot'!U42-tabellen!$E$6*'wgl tot'!H42)/12*tabellen!$D$6)</f>
        <v>#DIV/0!</v>
      </c>
      <c r="BG42" s="485" t="e">
        <f>IF('wgl tot'!U42/'wgl tot'!H42&lt;tabellen!$E$7,0,(+'wgl tot'!U42-tabellen!$E$7*'wgl tot'!H42)/12*tabellen!$D$7)</f>
        <v>#DIV/0!</v>
      </c>
      <c r="BH42" s="485">
        <f>'wgl tot'!U42/12*tabellen!$D$8</f>
        <v>0</v>
      </c>
      <c r="BI42" s="486" t="e">
        <f t="shared" si="16"/>
        <v>#DIV/0!</v>
      </c>
      <c r="BJ42" s="487" t="e">
        <f>+(U42+V42)/12-'wgl tot'!BI42</f>
        <v>#DIV/0!</v>
      </c>
      <c r="BK42" s="487" t="e">
        <f>ROUND(IF('wgl tot'!BJ42&gt;tabellen!$H$11,tabellen!$H$11,'wgl tot'!BJ42)*tabellen!$C$11,2)</f>
        <v>#DIV/0!</v>
      </c>
      <c r="BL42" s="487" t="e">
        <f>+'wgl tot'!BJ42+'wgl tot'!BK42</f>
        <v>#DIV/0!</v>
      </c>
      <c r="BM42" s="488">
        <f t="shared" si="7"/>
        <v>1900</v>
      </c>
      <c r="BN42" s="488">
        <f t="shared" si="8"/>
        <v>1</v>
      </c>
      <c r="BO42" s="481">
        <f t="shared" si="9"/>
        <v>0</v>
      </c>
      <c r="BP42" s="464">
        <f t="shared" si="13"/>
        <v>22462</v>
      </c>
      <c r="BQ42" s="464">
        <f t="shared" ca="1" si="14"/>
        <v>43364.939215393519</v>
      </c>
      <c r="BR42" s="445"/>
      <c r="BS42" s="464"/>
      <c r="BT42" s="445"/>
      <c r="BU42" s="484"/>
      <c r="BV42" s="484"/>
      <c r="BW42" s="484"/>
      <c r="BX42" s="484"/>
      <c r="BY42" s="484"/>
      <c r="BZ42" s="484"/>
      <c r="CA42" s="436"/>
      <c r="CB42" s="436"/>
    </row>
    <row r="43" spans="1:80" s="447" customFormat="1" ht="12" customHeight="1" x14ac:dyDescent="0.2">
      <c r="A43" s="436"/>
      <c r="B43" s="437"/>
      <c r="C43" s="467"/>
      <c r="D43" s="473"/>
      <c r="E43" s="474"/>
      <c r="F43" s="475"/>
      <c r="G43" s="475"/>
      <c r="H43" s="476"/>
      <c r="I43" s="475"/>
      <c r="J43" s="477"/>
      <c r="K43" s="497">
        <f>IF(F43="",0,(VLOOKUP('wgl tot'!F43,saltab2019,'wgl tot'!G43+1,FALSE)))</f>
        <v>0</v>
      </c>
      <c r="L43" s="479">
        <f t="shared" si="0"/>
        <v>0</v>
      </c>
      <c r="M43" s="467"/>
      <c r="N43" s="497">
        <f>ROUND(IF(('wgl tot'!L43+'wgl tot'!P43)*BB43&lt;'wgl tot'!H43*tabellen!$D$43,'wgl tot'!H43*tabellen!$D$43,('wgl tot'!L43+'wgl tot'!P43)*BB43),2)</f>
        <v>0</v>
      </c>
      <c r="O43" s="497">
        <f>ROUND(+('wgl tot'!L43+'wgl tot'!P43)*BC43,2)</f>
        <v>0</v>
      </c>
      <c r="P43" s="497">
        <f>ROUND(IF(I43="j",VLOOKUP(AZ43,uitlooptoeslag,2,FALSE))*IF('wgl tot'!H43&gt;1,1,'wgl tot'!H43),2)</f>
        <v>0</v>
      </c>
      <c r="Q43" s="497">
        <f>ROUND(IF(BE43="j",tabellen!$D$52*IF('wgl tot'!H43&gt;1,1,'wgl tot'!H43),0),2)</f>
        <v>0</v>
      </c>
      <c r="R43" s="497">
        <f>IF(AND(F43&gt;0,F43&lt;17),tabellen!$C$37*'wgl tot'!H43,0)</f>
        <v>0</v>
      </c>
      <c r="S43" s="497">
        <f>VLOOKUP(BD43,eindejaarsuitkering_OOP,2,TRUE)*'wgl tot'!H43/12</f>
        <v>0</v>
      </c>
      <c r="T43" s="497">
        <f>ROUND('wgl tot'!H43*tabellen!$D$50,2)</f>
        <v>0</v>
      </c>
      <c r="U43" s="498">
        <f t="shared" si="1"/>
        <v>0</v>
      </c>
      <c r="V43" s="497">
        <f>('wgl tot'!L43+'wgl tot'!P43)*tabellen!$C$39*12</f>
        <v>0</v>
      </c>
      <c r="W43" s="479">
        <f t="shared" si="10"/>
        <v>0</v>
      </c>
      <c r="X43" s="467"/>
      <c r="Y43" s="498">
        <f t="shared" si="11"/>
        <v>0</v>
      </c>
      <c r="Z43" s="674">
        <f>+'wgl tot'!V43/12</f>
        <v>0</v>
      </c>
      <c r="AA43" s="467"/>
      <c r="AB43" s="497">
        <f>IF(F43="",0,(IF('wgl tot'!U43/'wgl tot'!H43&lt;tabellen!$E$6,0,('wgl tot'!U43-tabellen!$E$6*'wgl tot'!H43)/12)*tabellen!$C$6))</f>
        <v>0</v>
      </c>
      <c r="AC43" s="497">
        <f>IF(F43="",0,(IF('wgl tot'!U43/'wgl tot'!H43&lt;tabellen!$E$7,0,(+'wgl tot'!U43-tabellen!$E$7*'wgl tot'!H43)/12)*tabellen!$C$7))</f>
        <v>0</v>
      </c>
      <c r="AD43" s="497">
        <f>'wgl tot'!U43/12*tabellen!$C$8</f>
        <v>0</v>
      </c>
      <c r="AE43" s="497">
        <f>IF(H43=0,0,IF(BJ43&gt;tabellen!$G$9/12,tabellen!$G$9/12,BJ43)*(tabellen!$C$9+tabellen!$C$10))</f>
        <v>0</v>
      </c>
      <c r="AF43" s="497">
        <f>IF(F43="",0,('wgl tot'!BK43))</f>
        <v>0</v>
      </c>
      <c r="AG43" s="499">
        <f>IF(F43="",0,(IF('wgl tot'!BJ43&gt;tabellen!$G$12*'wgl tot'!H43/12,tabellen!$G$12*'wgl tot'!H43/12,'wgl tot'!BJ43)*tabellen!$C$12))</f>
        <v>0</v>
      </c>
      <c r="AH43" s="467"/>
      <c r="AI43" s="499">
        <f>IF(F43="",0,('wgl tot'!BJ43*IF(J43=1,tabellen!$C$13,IF(J43=2,tabellen!$C$14,IF(J43=3,tabellen!$C$15,tabellen!$C$16)))))</f>
        <v>0</v>
      </c>
      <c r="AJ43" s="499">
        <f>IF(F43="",0,('wgl tot'!BJ43*tabellen!$C$17))</f>
        <v>0</v>
      </c>
      <c r="AK43" s="679">
        <v>0</v>
      </c>
      <c r="AL43" s="467"/>
      <c r="AM43" s="479">
        <f t="shared" si="2"/>
        <v>0</v>
      </c>
      <c r="AN43" s="479">
        <f t="shared" si="12"/>
        <v>0</v>
      </c>
      <c r="AO43" s="467"/>
      <c r="AP43" s="503" t="str">
        <f t="shared" si="3"/>
        <v/>
      </c>
      <c r="AQ43" s="503" t="str">
        <f t="shared" si="4"/>
        <v/>
      </c>
      <c r="AR43" s="467"/>
      <c r="AS43" s="444"/>
      <c r="AT43" s="436"/>
      <c r="AU43" s="436"/>
      <c r="AV43" s="481">
        <f ca="1">YEAR('wgl tot'!$AV$9)-YEAR('wgl tot'!E43)</f>
        <v>118</v>
      </c>
      <c r="AW43" s="481">
        <f ca="1">MONTH('wgl tot'!$AV$9)-MONTH('wgl tot'!E43)</f>
        <v>8</v>
      </c>
      <c r="AX43" s="481">
        <f ca="1">DAY('wgl tot'!$AV$9)-DAY('wgl tot'!E43)</f>
        <v>21</v>
      </c>
      <c r="AY43" s="445">
        <f>IF(AND('wgl tot'!F43&gt;0,'wgl tot'!F43&lt;17),0,100)</f>
        <v>100</v>
      </c>
      <c r="AZ43" s="445">
        <f t="shared" si="5"/>
        <v>0</v>
      </c>
      <c r="BA43" s="464">
        <v>42583</v>
      </c>
      <c r="BB43" s="482">
        <f t="shared" si="15"/>
        <v>0.08</v>
      </c>
      <c r="BC43" s="483">
        <f>+tabellen!$D$44</f>
        <v>6.3E-2</v>
      </c>
      <c r="BD43" s="481">
        <f>IF('wgl tot'!AY43=100,0,'wgl tot'!F43)</f>
        <v>0</v>
      </c>
      <c r="BE43" s="483" t="str">
        <f>IF(OR('wgl tot'!F43="DA",'wgl tot'!F43="DB",'wgl tot'!F43="DBuit",'wgl tot'!F43="DC",'wgl tot'!F43="DCuit",MID('wgl tot'!F43,1,5)="meerh"),"j","n")</f>
        <v>n</v>
      </c>
      <c r="BF43" s="485" t="e">
        <f>IF('wgl tot'!U43/'wgl tot'!H43&lt;tabellen!$E$6,0,(+'wgl tot'!U43-tabellen!$E$6*'wgl tot'!H43)/12*tabellen!$D$6)</f>
        <v>#DIV/0!</v>
      </c>
      <c r="BG43" s="485" t="e">
        <f>IF('wgl tot'!U43/'wgl tot'!H43&lt;tabellen!$E$7,0,(+'wgl tot'!U43-tabellen!$E$7*'wgl tot'!H43)/12*tabellen!$D$7)</f>
        <v>#DIV/0!</v>
      </c>
      <c r="BH43" s="485">
        <f>'wgl tot'!U43/12*tabellen!$D$8</f>
        <v>0</v>
      </c>
      <c r="BI43" s="486" t="e">
        <f t="shared" si="16"/>
        <v>#DIV/0!</v>
      </c>
      <c r="BJ43" s="487" t="e">
        <f>+(U43+V43)/12-'wgl tot'!BI43</f>
        <v>#DIV/0!</v>
      </c>
      <c r="BK43" s="487" t="e">
        <f>ROUND(IF('wgl tot'!BJ43&gt;tabellen!$H$11,tabellen!$H$11,'wgl tot'!BJ43)*tabellen!$C$11,2)</f>
        <v>#DIV/0!</v>
      </c>
      <c r="BL43" s="487" t="e">
        <f>+'wgl tot'!BJ43+'wgl tot'!BK43</f>
        <v>#DIV/0!</v>
      </c>
      <c r="BM43" s="488">
        <f t="shared" si="7"/>
        <v>1900</v>
      </c>
      <c r="BN43" s="488">
        <f t="shared" si="8"/>
        <v>1</v>
      </c>
      <c r="BO43" s="481">
        <f t="shared" si="9"/>
        <v>0</v>
      </c>
      <c r="BP43" s="464">
        <f t="shared" si="13"/>
        <v>22462</v>
      </c>
      <c r="BQ43" s="464">
        <f t="shared" ca="1" si="14"/>
        <v>43364.939215393519</v>
      </c>
      <c r="BR43" s="445"/>
      <c r="BS43" s="464"/>
      <c r="BT43" s="445"/>
      <c r="BU43" s="484"/>
      <c r="BV43" s="484"/>
      <c r="BW43" s="484"/>
      <c r="BX43" s="484"/>
      <c r="BY43" s="484"/>
      <c r="BZ43" s="484"/>
      <c r="CA43" s="436"/>
      <c r="CB43" s="436"/>
    </row>
    <row r="44" spans="1:80" s="447" customFormat="1" ht="12" customHeight="1" x14ac:dyDescent="0.2">
      <c r="A44" s="436"/>
      <c r="B44" s="437"/>
      <c r="C44" s="467"/>
      <c r="D44" s="473"/>
      <c r="E44" s="474"/>
      <c r="F44" s="475"/>
      <c r="G44" s="475"/>
      <c r="H44" s="476"/>
      <c r="I44" s="475"/>
      <c r="J44" s="477"/>
      <c r="K44" s="497">
        <f>IF(F44="",0,(VLOOKUP('wgl tot'!F44,saltab2019,'wgl tot'!G44+1,FALSE)))</f>
        <v>0</v>
      </c>
      <c r="L44" s="479">
        <f t="shared" si="0"/>
        <v>0</v>
      </c>
      <c r="M44" s="467"/>
      <c r="N44" s="497">
        <f>ROUND(IF(('wgl tot'!L44+'wgl tot'!P44)*BB44&lt;'wgl tot'!H44*tabellen!$D$43,'wgl tot'!H44*tabellen!$D$43,('wgl tot'!L44+'wgl tot'!P44)*BB44),2)</f>
        <v>0</v>
      </c>
      <c r="O44" s="497">
        <f>ROUND(+('wgl tot'!L44+'wgl tot'!P44)*BC44,2)</f>
        <v>0</v>
      </c>
      <c r="P44" s="497">
        <f>ROUND(IF(I44="j",VLOOKUP(AZ44,uitlooptoeslag,2,FALSE))*IF('wgl tot'!H44&gt;1,1,'wgl tot'!H44),2)</f>
        <v>0</v>
      </c>
      <c r="Q44" s="497">
        <f>ROUND(IF(BE44="j",tabellen!$D$52*IF('wgl tot'!H44&gt;1,1,'wgl tot'!H44),0),2)</f>
        <v>0</v>
      </c>
      <c r="R44" s="497">
        <f>IF(AND(F44&gt;0,F44&lt;17),tabellen!$C$37*'wgl tot'!H44,0)</f>
        <v>0</v>
      </c>
      <c r="S44" s="497">
        <f>VLOOKUP(BD44,eindejaarsuitkering_OOP,2,TRUE)*'wgl tot'!H44/12</f>
        <v>0</v>
      </c>
      <c r="T44" s="497">
        <f>ROUND('wgl tot'!H44*tabellen!$D$50,2)</f>
        <v>0</v>
      </c>
      <c r="U44" s="498">
        <f t="shared" ref="U44:U75" si="17">ROUND(((SUM(L44:S44)*12)+T44),0)</f>
        <v>0</v>
      </c>
      <c r="V44" s="497">
        <f>('wgl tot'!L44+'wgl tot'!P44)*tabellen!$C$39*12</f>
        <v>0</v>
      </c>
      <c r="W44" s="479">
        <f t="shared" si="10"/>
        <v>0</v>
      </c>
      <c r="X44" s="467"/>
      <c r="Y44" s="498">
        <f t="shared" si="11"/>
        <v>0</v>
      </c>
      <c r="Z44" s="674">
        <f>+'wgl tot'!V44/12</f>
        <v>0</v>
      </c>
      <c r="AA44" s="467"/>
      <c r="AB44" s="497">
        <f>IF(F44="",0,(IF('wgl tot'!U44/'wgl tot'!H44&lt;tabellen!$E$6,0,('wgl tot'!U44-tabellen!$E$6*'wgl tot'!H44)/12)*tabellen!$C$6))</f>
        <v>0</v>
      </c>
      <c r="AC44" s="497">
        <f>IF(F44="",0,(IF('wgl tot'!U44/'wgl tot'!H44&lt;tabellen!$E$7,0,(+'wgl tot'!U44-tabellen!$E$7*'wgl tot'!H44)/12)*tabellen!$C$7))</f>
        <v>0</v>
      </c>
      <c r="AD44" s="497">
        <f>'wgl tot'!U44/12*tabellen!$C$8</f>
        <v>0</v>
      </c>
      <c r="AE44" s="497">
        <f>IF(H44=0,0,IF(BJ44&gt;tabellen!$G$9/12,tabellen!$G$9/12,BJ44)*(tabellen!$C$9+tabellen!$C$10))</f>
        <v>0</v>
      </c>
      <c r="AF44" s="497">
        <f>IF(F44="",0,('wgl tot'!BK44))</f>
        <v>0</v>
      </c>
      <c r="AG44" s="499">
        <f>IF(F44="",0,(IF('wgl tot'!BJ44&gt;tabellen!$G$12*'wgl tot'!H44/12,tabellen!$G$12*'wgl tot'!H44/12,'wgl tot'!BJ44)*tabellen!$C$12))</f>
        <v>0</v>
      </c>
      <c r="AH44" s="467"/>
      <c r="AI44" s="499">
        <f>IF(F44="",0,('wgl tot'!BJ44*IF(J44=1,tabellen!$C$13,IF(J44=2,tabellen!$C$14,IF(J44=3,tabellen!$C$15,tabellen!$C$16)))))</f>
        <v>0</v>
      </c>
      <c r="AJ44" s="499">
        <f>IF(F44="",0,('wgl tot'!BJ44*tabellen!$C$17))</f>
        <v>0</v>
      </c>
      <c r="AK44" s="679">
        <v>0</v>
      </c>
      <c r="AL44" s="467"/>
      <c r="AM44" s="479">
        <f t="shared" ref="AM44:AM75" si="18">SUM(Y44:AK44)</f>
        <v>0</v>
      </c>
      <c r="AN44" s="479">
        <f t="shared" si="12"/>
        <v>0</v>
      </c>
      <c r="AO44" s="467"/>
      <c r="AP44" s="503" t="str">
        <f t="shared" ref="AP44:AP75" si="19">IF(AM44=0,"",(AM44/L44-1))</f>
        <v/>
      </c>
      <c r="AQ44" s="503" t="str">
        <f t="shared" ref="AQ44:AQ75" si="20">IF(AM44=0,"",(AM44/(W44/12))-1)</f>
        <v/>
      </c>
      <c r="AR44" s="467"/>
      <c r="AS44" s="444"/>
      <c r="AT44" s="436"/>
      <c r="AU44" s="436"/>
      <c r="AV44" s="481">
        <f ca="1">YEAR('wgl tot'!$AV$9)-YEAR('wgl tot'!E44)</f>
        <v>118</v>
      </c>
      <c r="AW44" s="481">
        <f ca="1">MONTH('wgl tot'!$AV$9)-MONTH('wgl tot'!E44)</f>
        <v>8</v>
      </c>
      <c r="AX44" s="481">
        <f ca="1">DAY('wgl tot'!$AV$9)-DAY('wgl tot'!E44)</f>
        <v>21</v>
      </c>
      <c r="AY44" s="445">
        <f>IF(AND('wgl tot'!F44&gt;0,'wgl tot'!F44&lt;17),0,100)</f>
        <v>100</v>
      </c>
      <c r="AZ44" s="445">
        <f t="shared" ref="AZ44:AZ75" si="21">F44</f>
        <v>0</v>
      </c>
      <c r="BA44" s="464">
        <v>42583</v>
      </c>
      <c r="BB44" s="482">
        <f t="shared" si="15"/>
        <v>0.08</v>
      </c>
      <c r="BC44" s="483">
        <f>+tabellen!$D$44</f>
        <v>6.3E-2</v>
      </c>
      <c r="BD44" s="481">
        <f>IF('wgl tot'!AY44=100,0,'wgl tot'!F44)</f>
        <v>0</v>
      </c>
      <c r="BE44" s="483" t="str">
        <f>IF(OR('wgl tot'!F44="DA",'wgl tot'!F44="DB",'wgl tot'!F44="DBuit",'wgl tot'!F44="DC",'wgl tot'!F44="DCuit",MID('wgl tot'!F44,1,5)="meerh"),"j","n")</f>
        <v>n</v>
      </c>
      <c r="BF44" s="485" t="e">
        <f>IF('wgl tot'!U44/'wgl tot'!H44&lt;tabellen!$E$6,0,(+'wgl tot'!U44-tabellen!$E$6*'wgl tot'!H44)/12*tabellen!$D$6)</f>
        <v>#DIV/0!</v>
      </c>
      <c r="BG44" s="485" t="e">
        <f>IF('wgl tot'!U44/'wgl tot'!H44&lt;tabellen!$E$7,0,(+'wgl tot'!U44-tabellen!$E$7*'wgl tot'!H44)/12*tabellen!$D$7)</f>
        <v>#DIV/0!</v>
      </c>
      <c r="BH44" s="485">
        <f>'wgl tot'!U44/12*tabellen!$D$8</f>
        <v>0</v>
      </c>
      <c r="BI44" s="486" t="e">
        <f t="shared" si="16"/>
        <v>#DIV/0!</v>
      </c>
      <c r="BJ44" s="487" t="e">
        <f>+(U44+V44)/12-'wgl tot'!BI44</f>
        <v>#DIV/0!</v>
      </c>
      <c r="BK44" s="487" t="e">
        <f>ROUND(IF('wgl tot'!BJ44&gt;tabellen!$H$11,tabellen!$H$11,'wgl tot'!BJ44)*tabellen!$C$11,2)</f>
        <v>#DIV/0!</v>
      </c>
      <c r="BL44" s="487" t="e">
        <f>+'wgl tot'!BJ44+'wgl tot'!BK44</f>
        <v>#DIV/0!</v>
      </c>
      <c r="BM44" s="488">
        <f t="shared" ref="BM44:BM75" si="22">YEAR(E44)</f>
        <v>1900</v>
      </c>
      <c r="BN44" s="488">
        <f t="shared" ref="BN44:BN75" si="23">MONTH(E44)</f>
        <v>1</v>
      </c>
      <c r="BO44" s="481">
        <f t="shared" ref="BO44:BO75" si="24">DAY(E44)</f>
        <v>0</v>
      </c>
      <c r="BP44" s="464">
        <f t="shared" si="13"/>
        <v>22462</v>
      </c>
      <c r="BQ44" s="464">
        <f t="shared" ca="1" si="14"/>
        <v>43364.939215393519</v>
      </c>
      <c r="BR44" s="445"/>
      <c r="BS44" s="464"/>
      <c r="BT44" s="445"/>
      <c r="BU44" s="484"/>
      <c r="BV44" s="484"/>
      <c r="BW44" s="484"/>
      <c r="BX44" s="484"/>
      <c r="BY44" s="484"/>
      <c r="BZ44" s="484"/>
      <c r="CA44" s="436"/>
      <c r="CB44" s="436"/>
    </row>
    <row r="45" spans="1:80" s="447" customFormat="1" ht="12" customHeight="1" x14ac:dyDescent="0.2">
      <c r="A45" s="436"/>
      <c r="B45" s="437"/>
      <c r="C45" s="467"/>
      <c r="D45" s="473"/>
      <c r="E45" s="474"/>
      <c r="F45" s="475"/>
      <c r="G45" s="475"/>
      <c r="H45" s="476"/>
      <c r="I45" s="475"/>
      <c r="J45" s="477"/>
      <c r="K45" s="497">
        <f>IF(F45="",0,(VLOOKUP('wgl tot'!F45,saltab2019,'wgl tot'!G45+1,FALSE)))</f>
        <v>0</v>
      </c>
      <c r="L45" s="479">
        <f t="shared" si="0"/>
        <v>0</v>
      </c>
      <c r="M45" s="467"/>
      <c r="N45" s="497">
        <f>ROUND(IF(('wgl tot'!L45+'wgl tot'!P45)*BB45&lt;'wgl tot'!H45*tabellen!$D$43,'wgl tot'!H45*tabellen!$D$43,('wgl tot'!L45+'wgl tot'!P45)*BB45),2)</f>
        <v>0</v>
      </c>
      <c r="O45" s="497">
        <f>ROUND(+('wgl tot'!L45+'wgl tot'!P45)*BC45,2)</f>
        <v>0</v>
      </c>
      <c r="P45" s="497">
        <f>ROUND(IF(I45="j",VLOOKUP(AZ45,uitlooptoeslag,2,FALSE))*IF('wgl tot'!H45&gt;1,1,'wgl tot'!H45),2)</f>
        <v>0</v>
      </c>
      <c r="Q45" s="497">
        <f>ROUND(IF(BE45="j",tabellen!$D$52*IF('wgl tot'!H45&gt;1,1,'wgl tot'!H45),0),2)</f>
        <v>0</v>
      </c>
      <c r="R45" s="497">
        <f>IF(AND(F45&gt;0,F45&lt;17),tabellen!$C$37*'wgl tot'!H45,0)</f>
        <v>0</v>
      </c>
      <c r="S45" s="497">
        <f>VLOOKUP(BD45,eindejaarsuitkering_OOP,2,TRUE)*'wgl tot'!H45/12</f>
        <v>0</v>
      </c>
      <c r="T45" s="497">
        <f>ROUND('wgl tot'!H45*tabellen!$D$50,2)</f>
        <v>0</v>
      </c>
      <c r="U45" s="498">
        <f t="shared" si="17"/>
        <v>0</v>
      </c>
      <c r="V45" s="497">
        <f>('wgl tot'!L45+'wgl tot'!P45)*tabellen!$C$39*12</f>
        <v>0</v>
      </c>
      <c r="W45" s="479">
        <f t="shared" si="10"/>
        <v>0</v>
      </c>
      <c r="X45" s="467"/>
      <c r="Y45" s="498">
        <f t="shared" si="11"/>
        <v>0</v>
      </c>
      <c r="Z45" s="674">
        <f>+'wgl tot'!V45/12</f>
        <v>0</v>
      </c>
      <c r="AA45" s="467"/>
      <c r="AB45" s="497">
        <f>IF(F45="",0,(IF('wgl tot'!U45/'wgl tot'!H45&lt;tabellen!$E$6,0,('wgl tot'!U45-tabellen!$E$6*'wgl tot'!H45)/12)*tabellen!$C$6))</f>
        <v>0</v>
      </c>
      <c r="AC45" s="497">
        <f>IF(F45="",0,(IF('wgl tot'!U45/'wgl tot'!H45&lt;tabellen!$E$7,0,(+'wgl tot'!U45-tabellen!$E$7*'wgl tot'!H45)/12)*tabellen!$C$7))</f>
        <v>0</v>
      </c>
      <c r="AD45" s="497">
        <f>'wgl tot'!U45/12*tabellen!$C$8</f>
        <v>0</v>
      </c>
      <c r="AE45" s="497">
        <f>IF(H45=0,0,IF(BJ45&gt;tabellen!$G$9/12,tabellen!$G$9/12,BJ45)*(tabellen!$C$9+tabellen!$C$10))</f>
        <v>0</v>
      </c>
      <c r="AF45" s="497">
        <f>IF(F45="",0,('wgl tot'!BK45))</f>
        <v>0</v>
      </c>
      <c r="AG45" s="499">
        <f>IF(F45="",0,(IF('wgl tot'!BJ45&gt;tabellen!$G$12*'wgl tot'!H45/12,tabellen!$G$12*'wgl tot'!H45/12,'wgl tot'!BJ45)*tabellen!$C$12))</f>
        <v>0</v>
      </c>
      <c r="AH45" s="467"/>
      <c r="AI45" s="499">
        <f>IF(F45="",0,('wgl tot'!BJ45*IF(J45=1,tabellen!$C$13,IF(J45=2,tabellen!$C$14,IF(J45=3,tabellen!$C$15,tabellen!$C$16)))))</f>
        <v>0</v>
      </c>
      <c r="AJ45" s="499">
        <f>IF(F45="",0,('wgl tot'!BJ45*tabellen!$C$17))</f>
        <v>0</v>
      </c>
      <c r="AK45" s="679">
        <v>0</v>
      </c>
      <c r="AL45" s="467"/>
      <c r="AM45" s="479">
        <f t="shared" si="18"/>
        <v>0</v>
      </c>
      <c r="AN45" s="479">
        <f t="shared" si="12"/>
        <v>0</v>
      </c>
      <c r="AO45" s="467"/>
      <c r="AP45" s="503" t="str">
        <f t="shared" si="19"/>
        <v/>
      </c>
      <c r="AQ45" s="503" t="str">
        <f t="shared" si="20"/>
        <v/>
      </c>
      <c r="AR45" s="467"/>
      <c r="AS45" s="444"/>
      <c r="AT45" s="436"/>
      <c r="AU45" s="436"/>
      <c r="AV45" s="481">
        <f ca="1">YEAR('wgl tot'!$AV$9)-YEAR('wgl tot'!E45)</f>
        <v>118</v>
      </c>
      <c r="AW45" s="481">
        <f ca="1">MONTH('wgl tot'!$AV$9)-MONTH('wgl tot'!E45)</f>
        <v>8</v>
      </c>
      <c r="AX45" s="481">
        <f ca="1">DAY('wgl tot'!$AV$9)-DAY('wgl tot'!E45)</f>
        <v>21</v>
      </c>
      <c r="AY45" s="445">
        <f>IF(AND('wgl tot'!F45&gt;0,'wgl tot'!F45&lt;17),0,100)</f>
        <v>100</v>
      </c>
      <c r="AZ45" s="445">
        <f t="shared" si="21"/>
        <v>0</v>
      </c>
      <c r="BA45" s="464">
        <v>42583</v>
      </c>
      <c r="BB45" s="482">
        <f t="shared" si="15"/>
        <v>0.08</v>
      </c>
      <c r="BC45" s="483">
        <f>+tabellen!$D$44</f>
        <v>6.3E-2</v>
      </c>
      <c r="BD45" s="481">
        <f>IF('wgl tot'!AY45=100,0,'wgl tot'!F45)</f>
        <v>0</v>
      </c>
      <c r="BE45" s="483" t="str">
        <f>IF(OR('wgl tot'!F45="DA",'wgl tot'!F45="DB",'wgl tot'!F45="DBuit",'wgl tot'!F45="DC",'wgl tot'!F45="DCuit",MID('wgl tot'!F45,1,5)="meerh"),"j","n")</f>
        <v>n</v>
      </c>
      <c r="BF45" s="485" t="e">
        <f>IF('wgl tot'!U45/'wgl tot'!H45&lt;tabellen!$E$6,0,(+'wgl tot'!U45-tabellen!$E$6*'wgl tot'!H45)/12*tabellen!$D$6)</f>
        <v>#DIV/0!</v>
      </c>
      <c r="BG45" s="485" t="e">
        <f>IF('wgl tot'!U45/'wgl tot'!H45&lt;tabellen!$E$7,0,(+'wgl tot'!U45-tabellen!$E$7*'wgl tot'!H45)/12*tabellen!$D$7)</f>
        <v>#DIV/0!</v>
      </c>
      <c r="BH45" s="485">
        <f>'wgl tot'!U45/12*tabellen!$D$8</f>
        <v>0</v>
      </c>
      <c r="BI45" s="486" t="e">
        <f t="shared" si="16"/>
        <v>#DIV/0!</v>
      </c>
      <c r="BJ45" s="487" t="e">
        <f>+(U45+V45)/12-'wgl tot'!BI45</f>
        <v>#DIV/0!</v>
      </c>
      <c r="BK45" s="487" t="e">
        <f>ROUND(IF('wgl tot'!BJ45&gt;tabellen!$H$11,tabellen!$H$11,'wgl tot'!BJ45)*tabellen!$C$11,2)</f>
        <v>#DIV/0!</v>
      </c>
      <c r="BL45" s="487" t="e">
        <f>+'wgl tot'!BJ45+'wgl tot'!BK45</f>
        <v>#DIV/0!</v>
      </c>
      <c r="BM45" s="488">
        <f t="shared" si="22"/>
        <v>1900</v>
      </c>
      <c r="BN45" s="488">
        <f t="shared" si="23"/>
        <v>1</v>
      </c>
      <c r="BO45" s="481">
        <f t="shared" si="24"/>
        <v>0</v>
      </c>
      <c r="BP45" s="464">
        <f t="shared" si="13"/>
        <v>22462</v>
      </c>
      <c r="BQ45" s="464">
        <f t="shared" ca="1" si="14"/>
        <v>43364.939215393519</v>
      </c>
      <c r="BR45" s="445"/>
      <c r="BS45" s="464"/>
      <c r="BT45" s="445"/>
      <c r="BU45" s="484"/>
      <c r="BV45" s="484"/>
      <c r="BW45" s="484"/>
      <c r="BX45" s="484"/>
      <c r="BY45" s="484"/>
      <c r="BZ45" s="484"/>
      <c r="CA45" s="436"/>
      <c r="CB45" s="436"/>
    </row>
    <row r="46" spans="1:80" s="447" customFormat="1" ht="12" customHeight="1" x14ac:dyDescent="0.2">
      <c r="A46" s="436"/>
      <c r="B46" s="437"/>
      <c r="C46" s="467"/>
      <c r="D46" s="473"/>
      <c r="E46" s="474"/>
      <c r="F46" s="475"/>
      <c r="G46" s="475"/>
      <c r="H46" s="476"/>
      <c r="I46" s="475"/>
      <c r="J46" s="477"/>
      <c r="K46" s="497">
        <f>IF(F46="",0,(VLOOKUP('wgl tot'!F46,saltab2019,'wgl tot'!G46+1,FALSE)))</f>
        <v>0</v>
      </c>
      <c r="L46" s="479">
        <f t="shared" si="0"/>
        <v>0</v>
      </c>
      <c r="M46" s="467"/>
      <c r="N46" s="497">
        <f>ROUND(IF(('wgl tot'!L46+'wgl tot'!P46)*BB46&lt;'wgl tot'!H46*tabellen!$D$43,'wgl tot'!H46*tabellen!$D$43,('wgl tot'!L46+'wgl tot'!P46)*BB46),2)</f>
        <v>0</v>
      </c>
      <c r="O46" s="497">
        <f>ROUND(+('wgl tot'!L46+'wgl tot'!P46)*BC46,2)</f>
        <v>0</v>
      </c>
      <c r="P46" s="497">
        <f>ROUND(IF(I46="j",VLOOKUP(AZ46,uitlooptoeslag,2,FALSE))*IF('wgl tot'!H46&gt;1,1,'wgl tot'!H46),2)</f>
        <v>0</v>
      </c>
      <c r="Q46" s="497">
        <f>ROUND(IF(BE46="j",tabellen!$D$52*IF('wgl tot'!H46&gt;1,1,'wgl tot'!H46),0),2)</f>
        <v>0</v>
      </c>
      <c r="R46" s="497">
        <f>IF(AND(F46&gt;0,F46&lt;17),tabellen!$C$37*'wgl tot'!H46,0)</f>
        <v>0</v>
      </c>
      <c r="S46" s="497">
        <f>VLOOKUP(BD46,eindejaarsuitkering_OOP,2,TRUE)*'wgl tot'!H46/12</f>
        <v>0</v>
      </c>
      <c r="T46" s="497">
        <f>ROUND('wgl tot'!H46*tabellen!$D$50,2)</f>
        <v>0</v>
      </c>
      <c r="U46" s="498">
        <f t="shared" si="17"/>
        <v>0</v>
      </c>
      <c r="V46" s="497">
        <f>('wgl tot'!L46+'wgl tot'!P46)*tabellen!$C$39*12</f>
        <v>0</v>
      </c>
      <c r="W46" s="479">
        <f t="shared" si="10"/>
        <v>0</v>
      </c>
      <c r="X46" s="467"/>
      <c r="Y46" s="498">
        <f t="shared" si="11"/>
        <v>0</v>
      </c>
      <c r="Z46" s="674">
        <f>+'wgl tot'!V46/12</f>
        <v>0</v>
      </c>
      <c r="AA46" s="467"/>
      <c r="AB46" s="497">
        <f>IF(F46="",0,(IF('wgl tot'!U46/'wgl tot'!H46&lt;tabellen!$E$6,0,('wgl tot'!U46-tabellen!$E$6*'wgl tot'!H46)/12)*tabellen!$C$6))</f>
        <v>0</v>
      </c>
      <c r="AC46" s="497">
        <f>IF(F46="",0,(IF('wgl tot'!U46/'wgl tot'!H46&lt;tabellen!$E$7,0,(+'wgl tot'!U46-tabellen!$E$7*'wgl tot'!H46)/12)*tabellen!$C$7))</f>
        <v>0</v>
      </c>
      <c r="AD46" s="497">
        <f>'wgl tot'!U46/12*tabellen!$C$8</f>
        <v>0</v>
      </c>
      <c r="AE46" s="497">
        <f>IF(H46=0,0,IF(BJ46&gt;tabellen!$G$9/12,tabellen!$G$9/12,BJ46)*(tabellen!$C$9+tabellen!$C$10))</f>
        <v>0</v>
      </c>
      <c r="AF46" s="497">
        <f>IF(F46="",0,('wgl tot'!BK46))</f>
        <v>0</v>
      </c>
      <c r="AG46" s="499">
        <f>IF(F46="",0,(IF('wgl tot'!BJ46&gt;tabellen!$G$12*'wgl tot'!H46/12,tabellen!$G$12*'wgl tot'!H46/12,'wgl tot'!BJ46)*tabellen!$C$12))</f>
        <v>0</v>
      </c>
      <c r="AH46" s="467"/>
      <c r="AI46" s="499">
        <f>IF(F46="",0,('wgl tot'!BJ46*IF(J46=1,tabellen!$C$13,IF(J46=2,tabellen!$C$14,IF(J46=3,tabellen!$C$15,tabellen!$C$16)))))</f>
        <v>0</v>
      </c>
      <c r="AJ46" s="499">
        <f>IF(F46="",0,('wgl tot'!BJ46*tabellen!$C$17))</f>
        <v>0</v>
      </c>
      <c r="AK46" s="679">
        <v>0</v>
      </c>
      <c r="AL46" s="467"/>
      <c r="AM46" s="479">
        <f t="shared" si="18"/>
        <v>0</v>
      </c>
      <c r="AN46" s="479">
        <f t="shared" si="12"/>
        <v>0</v>
      </c>
      <c r="AO46" s="467"/>
      <c r="AP46" s="503" t="str">
        <f t="shared" si="19"/>
        <v/>
      </c>
      <c r="AQ46" s="503" t="str">
        <f t="shared" si="20"/>
        <v/>
      </c>
      <c r="AR46" s="467"/>
      <c r="AS46" s="444"/>
      <c r="AT46" s="436"/>
      <c r="AU46" s="436"/>
      <c r="AV46" s="481">
        <f ca="1">YEAR('wgl tot'!$AV$9)-YEAR('wgl tot'!E46)</f>
        <v>118</v>
      </c>
      <c r="AW46" s="481">
        <f ca="1">MONTH('wgl tot'!$AV$9)-MONTH('wgl tot'!E46)</f>
        <v>8</v>
      </c>
      <c r="AX46" s="481">
        <f ca="1">DAY('wgl tot'!$AV$9)-DAY('wgl tot'!E46)</f>
        <v>21</v>
      </c>
      <c r="AY46" s="445">
        <f>IF(AND('wgl tot'!F46&gt;0,'wgl tot'!F46&lt;17),0,100)</f>
        <v>100</v>
      </c>
      <c r="AZ46" s="445">
        <f t="shared" si="21"/>
        <v>0</v>
      </c>
      <c r="BA46" s="464">
        <v>42583</v>
      </c>
      <c r="BB46" s="482">
        <f t="shared" si="15"/>
        <v>0.08</v>
      </c>
      <c r="BC46" s="483">
        <f>+tabellen!$D$44</f>
        <v>6.3E-2</v>
      </c>
      <c r="BD46" s="481">
        <f>IF('wgl tot'!AY46=100,0,'wgl tot'!F46)</f>
        <v>0</v>
      </c>
      <c r="BE46" s="483" t="str">
        <f>IF(OR('wgl tot'!F46="DA",'wgl tot'!F46="DB",'wgl tot'!F46="DBuit",'wgl tot'!F46="DC",'wgl tot'!F46="DCuit",MID('wgl tot'!F46,1,5)="meerh"),"j","n")</f>
        <v>n</v>
      </c>
      <c r="BF46" s="485" t="e">
        <f>IF('wgl tot'!U46/'wgl tot'!H46&lt;tabellen!$E$6,0,(+'wgl tot'!U46-tabellen!$E$6*'wgl tot'!H46)/12*tabellen!$D$6)</f>
        <v>#DIV/0!</v>
      </c>
      <c r="BG46" s="485" t="e">
        <f>IF('wgl tot'!U46/'wgl tot'!H46&lt;tabellen!$E$7,0,(+'wgl tot'!U46-tabellen!$E$7*'wgl tot'!H46)/12*tabellen!$D$7)</f>
        <v>#DIV/0!</v>
      </c>
      <c r="BH46" s="485">
        <f>'wgl tot'!U46/12*tabellen!$D$8</f>
        <v>0</v>
      </c>
      <c r="BI46" s="486" t="e">
        <f t="shared" si="16"/>
        <v>#DIV/0!</v>
      </c>
      <c r="BJ46" s="487" t="e">
        <f>+(U46+V46)/12-'wgl tot'!BI46</f>
        <v>#DIV/0!</v>
      </c>
      <c r="BK46" s="487" t="e">
        <f>ROUND(IF('wgl tot'!BJ46&gt;tabellen!$H$11,tabellen!$H$11,'wgl tot'!BJ46)*tabellen!$C$11,2)</f>
        <v>#DIV/0!</v>
      </c>
      <c r="BL46" s="487" t="e">
        <f>+'wgl tot'!BJ46+'wgl tot'!BK46</f>
        <v>#DIV/0!</v>
      </c>
      <c r="BM46" s="488">
        <f t="shared" si="22"/>
        <v>1900</v>
      </c>
      <c r="BN46" s="488">
        <f t="shared" si="23"/>
        <v>1</v>
      </c>
      <c r="BO46" s="481">
        <f t="shared" si="24"/>
        <v>0</v>
      </c>
      <c r="BP46" s="464">
        <f t="shared" si="13"/>
        <v>22462</v>
      </c>
      <c r="BQ46" s="464">
        <f t="shared" ca="1" si="14"/>
        <v>43364.939215393519</v>
      </c>
      <c r="BR46" s="445"/>
      <c r="BS46" s="464"/>
      <c r="BT46" s="445"/>
      <c r="BU46" s="484"/>
      <c r="BV46" s="484"/>
      <c r="BW46" s="484"/>
      <c r="BX46" s="484"/>
      <c r="BY46" s="484"/>
      <c r="BZ46" s="484"/>
      <c r="CA46" s="436"/>
      <c r="CB46" s="436"/>
    </row>
    <row r="47" spans="1:80" s="447" customFormat="1" ht="12" customHeight="1" x14ac:dyDescent="0.2">
      <c r="A47" s="436"/>
      <c r="B47" s="437"/>
      <c r="C47" s="467"/>
      <c r="D47" s="473"/>
      <c r="E47" s="474"/>
      <c r="F47" s="475"/>
      <c r="G47" s="475"/>
      <c r="H47" s="476"/>
      <c r="I47" s="475"/>
      <c r="J47" s="477"/>
      <c r="K47" s="497">
        <f>IF(F47="",0,(VLOOKUP('wgl tot'!F47,saltab2019,'wgl tot'!G47+1,FALSE)))</f>
        <v>0</v>
      </c>
      <c r="L47" s="479">
        <f t="shared" si="0"/>
        <v>0</v>
      </c>
      <c r="M47" s="467"/>
      <c r="N47" s="497">
        <f>ROUND(IF(('wgl tot'!L47+'wgl tot'!P47)*BB47&lt;'wgl tot'!H47*tabellen!$D$43,'wgl tot'!H47*tabellen!$D$43,('wgl tot'!L47+'wgl tot'!P47)*BB47),2)</f>
        <v>0</v>
      </c>
      <c r="O47" s="497">
        <f>ROUND(+('wgl tot'!L47+'wgl tot'!P47)*BC47,2)</f>
        <v>0</v>
      </c>
      <c r="P47" s="497">
        <f>ROUND(IF(I47="j",VLOOKUP(AZ47,uitlooptoeslag,2,FALSE))*IF('wgl tot'!H47&gt;1,1,'wgl tot'!H47),2)</f>
        <v>0</v>
      </c>
      <c r="Q47" s="497">
        <f>ROUND(IF(BE47="j",tabellen!$D$52*IF('wgl tot'!H47&gt;1,1,'wgl tot'!H47),0),2)</f>
        <v>0</v>
      </c>
      <c r="R47" s="497">
        <f>IF(AND(F47&gt;0,F47&lt;17),tabellen!$C$37*'wgl tot'!H47,0)</f>
        <v>0</v>
      </c>
      <c r="S47" s="497">
        <f>VLOOKUP(BD47,eindejaarsuitkering_OOP,2,TRUE)*'wgl tot'!H47/12</f>
        <v>0</v>
      </c>
      <c r="T47" s="497">
        <f>ROUND('wgl tot'!H47*tabellen!$D$50,2)</f>
        <v>0</v>
      </c>
      <c r="U47" s="498">
        <f t="shared" si="17"/>
        <v>0</v>
      </c>
      <c r="V47" s="497">
        <f>('wgl tot'!L47+'wgl tot'!P47)*tabellen!$C$39*12</f>
        <v>0</v>
      </c>
      <c r="W47" s="479">
        <f t="shared" si="10"/>
        <v>0</v>
      </c>
      <c r="X47" s="467"/>
      <c r="Y47" s="498">
        <f t="shared" si="11"/>
        <v>0</v>
      </c>
      <c r="Z47" s="674">
        <f>+'wgl tot'!V47/12</f>
        <v>0</v>
      </c>
      <c r="AA47" s="467"/>
      <c r="AB47" s="497">
        <f>IF(F47="",0,(IF('wgl tot'!U47/'wgl tot'!H47&lt;tabellen!$E$6,0,('wgl tot'!U47-tabellen!$E$6*'wgl tot'!H47)/12)*tabellen!$C$6))</f>
        <v>0</v>
      </c>
      <c r="AC47" s="497">
        <f>IF(F47="",0,(IF('wgl tot'!U47/'wgl tot'!H47&lt;tabellen!$E$7,0,(+'wgl tot'!U47-tabellen!$E$7*'wgl tot'!H47)/12)*tabellen!$C$7))</f>
        <v>0</v>
      </c>
      <c r="AD47" s="497">
        <f>'wgl tot'!U47/12*tabellen!$C$8</f>
        <v>0</v>
      </c>
      <c r="AE47" s="497">
        <f>IF(H47=0,0,IF(BJ47&gt;tabellen!$G$9/12,tabellen!$G$9/12,BJ47)*(tabellen!$C$9+tabellen!$C$10))</f>
        <v>0</v>
      </c>
      <c r="AF47" s="497">
        <f>IF(F47="",0,('wgl tot'!BK47))</f>
        <v>0</v>
      </c>
      <c r="AG47" s="499">
        <f>IF(F47="",0,(IF('wgl tot'!BJ47&gt;tabellen!$G$12*'wgl tot'!H47/12,tabellen!$G$12*'wgl tot'!H47/12,'wgl tot'!BJ47)*tabellen!$C$12))</f>
        <v>0</v>
      </c>
      <c r="AH47" s="467"/>
      <c r="AI47" s="499">
        <f>IF(F47="",0,('wgl tot'!BJ47*IF(J47=1,tabellen!$C$13,IF(J47=2,tabellen!$C$14,IF(J47=3,tabellen!$C$15,tabellen!$C$16)))))</f>
        <v>0</v>
      </c>
      <c r="AJ47" s="499">
        <f>IF(F47="",0,('wgl tot'!BJ47*tabellen!$C$17))</f>
        <v>0</v>
      </c>
      <c r="AK47" s="679">
        <v>0</v>
      </c>
      <c r="AL47" s="467"/>
      <c r="AM47" s="479">
        <f t="shared" si="18"/>
        <v>0</v>
      </c>
      <c r="AN47" s="479">
        <f t="shared" si="12"/>
        <v>0</v>
      </c>
      <c r="AO47" s="467"/>
      <c r="AP47" s="503" t="str">
        <f t="shared" si="19"/>
        <v/>
      </c>
      <c r="AQ47" s="503" t="str">
        <f t="shared" si="20"/>
        <v/>
      </c>
      <c r="AR47" s="467"/>
      <c r="AS47" s="444"/>
      <c r="AT47" s="436"/>
      <c r="AU47" s="436"/>
      <c r="AV47" s="481">
        <f ca="1">YEAR('wgl tot'!$AV$9)-YEAR('wgl tot'!E47)</f>
        <v>118</v>
      </c>
      <c r="AW47" s="481">
        <f ca="1">MONTH('wgl tot'!$AV$9)-MONTH('wgl tot'!E47)</f>
        <v>8</v>
      </c>
      <c r="AX47" s="481">
        <f ca="1">DAY('wgl tot'!$AV$9)-DAY('wgl tot'!E47)</f>
        <v>21</v>
      </c>
      <c r="AY47" s="445">
        <f>IF(AND('wgl tot'!F47&gt;0,'wgl tot'!F47&lt;17),0,100)</f>
        <v>100</v>
      </c>
      <c r="AZ47" s="445">
        <f t="shared" si="21"/>
        <v>0</v>
      </c>
      <c r="BA47" s="464">
        <v>42583</v>
      </c>
      <c r="BB47" s="482">
        <f t="shared" si="15"/>
        <v>0.08</v>
      </c>
      <c r="BC47" s="483">
        <f>+tabellen!$D$44</f>
        <v>6.3E-2</v>
      </c>
      <c r="BD47" s="481">
        <f>IF('wgl tot'!AY47=100,0,'wgl tot'!F47)</f>
        <v>0</v>
      </c>
      <c r="BE47" s="483" t="str">
        <f>IF(OR('wgl tot'!F47="DA",'wgl tot'!F47="DB",'wgl tot'!F47="DBuit",'wgl tot'!F47="DC",'wgl tot'!F47="DCuit",MID('wgl tot'!F47,1,5)="meerh"),"j","n")</f>
        <v>n</v>
      </c>
      <c r="BF47" s="485" t="e">
        <f>IF('wgl tot'!U47/'wgl tot'!H47&lt;tabellen!$E$6,0,(+'wgl tot'!U47-tabellen!$E$6*'wgl tot'!H47)/12*tabellen!$D$6)</f>
        <v>#DIV/0!</v>
      </c>
      <c r="BG47" s="485" t="e">
        <f>IF('wgl tot'!U47/'wgl tot'!H47&lt;tabellen!$E$7,0,(+'wgl tot'!U47-tabellen!$E$7*'wgl tot'!H47)/12*tabellen!$D$7)</f>
        <v>#DIV/0!</v>
      </c>
      <c r="BH47" s="485">
        <f>'wgl tot'!U47/12*tabellen!$D$8</f>
        <v>0</v>
      </c>
      <c r="BI47" s="486" t="e">
        <f t="shared" si="16"/>
        <v>#DIV/0!</v>
      </c>
      <c r="BJ47" s="487" t="e">
        <f>+(U47+V47)/12-'wgl tot'!BI47</f>
        <v>#DIV/0!</v>
      </c>
      <c r="BK47" s="487" t="e">
        <f>ROUND(IF('wgl tot'!BJ47&gt;tabellen!$H$11,tabellen!$H$11,'wgl tot'!BJ47)*tabellen!$C$11,2)</f>
        <v>#DIV/0!</v>
      </c>
      <c r="BL47" s="487" t="e">
        <f>+'wgl tot'!BJ47+'wgl tot'!BK47</f>
        <v>#DIV/0!</v>
      </c>
      <c r="BM47" s="488">
        <f t="shared" si="22"/>
        <v>1900</v>
      </c>
      <c r="BN47" s="488">
        <f t="shared" si="23"/>
        <v>1</v>
      </c>
      <c r="BO47" s="481">
        <f t="shared" si="24"/>
        <v>0</v>
      </c>
      <c r="BP47" s="464">
        <f t="shared" si="13"/>
        <v>22462</v>
      </c>
      <c r="BQ47" s="464">
        <f t="shared" ca="1" si="14"/>
        <v>43364.939215393519</v>
      </c>
      <c r="BR47" s="445"/>
      <c r="BS47" s="464"/>
      <c r="BT47" s="445"/>
      <c r="BU47" s="484"/>
      <c r="BV47" s="484"/>
      <c r="BW47" s="484"/>
      <c r="BX47" s="484"/>
      <c r="BY47" s="484"/>
      <c r="BZ47" s="484"/>
      <c r="CA47" s="436"/>
      <c r="CB47" s="436"/>
    </row>
    <row r="48" spans="1:80" s="447" customFormat="1" ht="12" customHeight="1" x14ac:dyDescent="0.2">
      <c r="A48" s="436"/>
      <c r="B48" s="437"/>
      <c r="C48" s="467"/>
      <c r="D48" s="473"/>
      <c r="E48" s="474"/>
      <c r="F48" s="475"/>
      <c r="G48" s="475"/>
      <c r="H48" s="476"/>
      <c r="I48" s="475"/>
      <c r="J48" s="477"/>
      <c r="K48" s="497">
        <f>IF(F48="",0,(VLOOKUP('wgl tot'!F48,saltab2019,'wgl tot'!G48+1,FALSE)))</f>
        <v>0</v>
      </c>
      <c r="L48" s="479">
        <f t="shared" si="0"/>
        <v>0</v>
      </c>
      <c r="M48" s="467"/>
      <c r="N48" s="497">
        <f>ROUND(IF(('wgl tot'!L48+'wgl tot'!P48)*BB48&lt;'wgl tot'!H48*tabellen!$D$43,'wgl tot'!H48*tabellen!$D$43,('wgl tot'!L48+'wgl tot'!P48)*BB48),2)</f>
        <v>0</v>
      </c>
      <c r="O48" s="497">
        <f>ROUND(+('wgl tot'!L48+'wgl tot'!P48)*BC48,2)</f>
        <v>0</v>
      </c>
      <c r="P48" s="497">
        <f>ROUND(IF(I48="j",VLOOKUP(AZ48,uitlooptoeslag,2,FALSE))*IF('wgl tot'!H48&gt;1,1,'wgl tot'!H48),2)</f>
        <v>0</v>
      </c>
      <c r="Q48" s="497">
        <f>ROUND(IF(BE48="j",tabellen!$D$52*IF('wgl tot'!H48&gt;1,1,'wgl tot'!H48),0),2)</f>
        <v>0</v>
      </c>
      <c r="R48" s="497">
        <f>IF(AND(F48&gt;0,F48&lt;17),tabellen!$C$37*'wgl tot'!H48,0)</f>
        <v>0</v>
      </c>
      <c r="S48" s="497">
        <f>VLOOKUP(BD48,eindejaarsuitkering_OOP,2,TRUE)*'wgl tot'!H48/12</f>
        <v>0</v>
      </c>
      <c r="T48" s="497">
        <f>ROUND('wgl tot'!H48*tabellen!$D$50,2)</f>
        <v>0</v>
      </c>
      <c r="U48" s="498">
        <f t="shared" si="17"/>
        <v>0</v>
      </c>
      <c r="V48" s="497">
        <f>('wgl tot'!L48+'wgl tot'!P48)*tabellen!$C$39*12</f>
        <v>0</v>
      </c>
      <c r="W48" s="479">
        <f t="shared" si="10"/>
        <v>0</v>
      </c>
      <c r="X48" s="467"/>
      <c r="Y48" s="498">
        <f t="shared" si="11"/>
        <v>0</v>
      </c>
      <c r="Z48" s="674">
        <f>+'wgl tot'!V48/12</f>
        <v>0</v>
      </c>
      <c r="AA48" s="467"/>
      <c r="AB48" s="497">
        <f>IF(F48="",0,(IF('wgl tot'!U48/'wgl tot'!H48&lt;tabellen!$E$6,0,('wgl tot'!U48-tabellen!$E$6*'wgl tot'!H48)/12)*tabellen!$C$6))</f>
        <v>0</v>
      </c>
      <c r="AC48" s="497">
        <f>IF(F48="",0,(IF('wgl tot'!U48/'wgl tot'!H48&lt;tabellen!$E$7,0,(+'wgl tot'!U48-tabellen!$E$7*'wgl tot'!H48)/12)*tabellen!$C$7))</f>
        <v>0</v>
      </c>
      <c r="AD48" s="497">
        <f>'wgl tot'!U48/12*tabellen!$C$8</f>
        <v>0</v>
      </c>
      <c r="AE48" s="497">
        <f>IF(H48=0,0,IF(BJ48&gt;tabellen!$G$9/12,tabellen!$G$9/12,BJ48)*(tabellen!$C$9+tabellen!$C$10))</f>
        <v>0</v>
      </c>
      <c r="AF48" s="497">
        <f>IF(F48="",0,('wgl tot'!BK48))</f>
        <v>0</v>
      </c>
      <c r="AG48" s="499">
        <f>IF(F48="",0,(IF('wgl tot'!BJ48&gt;tabellen!$G$12*'wgl tot'!H48/12,tabellen!$G$12*'wgl tot'!H48/12,'wgl tot'!BJ48)*tabellen!$C$12))</f>
        <v>0</v>
      </c>
      <c r="AH48" s="467"/>
      <c r="AI48" s="499">
        <f>IF(F48="",0,('wgl tot'!BJ48*IF(J48=1,tabellen!$C$13,IF(J48=2,tabellen!$C$14,IF(J48=3,tabellen!$C$15,tabellen!$C$16)))))</f>
        <v>0</v>
      </c>
      <c r="AJ48" s="499">
        <f>IF(F48="",0,('wgl tot'!BJ48*tabellen!$C$17))</f>
        <v>0</v>
      </c>
      <c r="AK48" s="679">
        <v>0</v>
      </c>
      <c r="AL48" s="467"/>
      <c r="AM48" s="479">
        <f t="shared" si="18"/>
        <v>0</v>
      </c>
      <c r="AN48" s="479">
        <f t="shared" si="12"/>
        <v>0</v>
      </c>
      <c r="AO48" s="467"/>
      <c r="AP48" s="503" t="str">
        <f t="shared" si="19"/>
        <v/>
      </c>
      <c r="AQ48" s="503" t="str">
        <f t="shared" si="20"/>
        <v/>
      </c>
      <c r="AR48" s="467"/>
      <c r="AS48" s="444"/>
      <c r="AT48" s="436"/>
      <c r="AU48" s="436"/>
      <c r="AV48" s="481">
        <f ca="1">YEAR('wgl tot'!$AV$9)-YEAR('wgl tot'!E48)</f>
        <v>118</v>
      </c>
      <c r="AW48" s="481">
        <f ca="1">MONTH('wgl tot'!$AV$9)-MONTH('wgl tot'!E48)</f>
        <v>8</v>
      </c>
      <c r="AX48" s="481">
        <f ca="1">DAY('wgl tot'!$AV$9)-DAY('wgl tot'!E48)</f>
        <v>21</v>
      </c>
      <c r="AY48" s="445">
        <f>IF(AND('wgl tot'!F48&gt;0,'wgl tot'!F48&lt;17),0,100)</f>
        <v>100</v>
      </c>
      <c r="AZ48" s="445">
        <f t="shared" si="21"/>
        <v>0</v>
      </c>
      <c r="BA48" s="464">
        <v>42583</v>
      </c>
      <c r="BB48" s="482">
        <f t="shared" si="15"/>
        <v>0.08</v>
      </c>
      <c r="BC48" s="483">
        <f>+tabellen!$D$44</f>
        <v>6.3E-2</v>
      </c>
      <c r="BD48" s="481">
        <f>IF('wgl tot'!AY48=100,0,'wgl tot'!F48)</f>
        <v>0</v>
      </c>
      <c r="BE48" s="483" t="str">
        <f>IF(OR('wgl tot'!F48="DA",'wgl tot'!F48="DB",'wgl tot'!F48="DBuit",'wgl tot'!F48="DC",'wgl tot'!F48="DCuit",MID('wgl tot'!F48,1,5)="meerh"),"j","n")</f>
        <v>n</v>
      </c>
      <c r="BF48" s="485" t="e">
        <f>IF('wgl tot'!U48/'wgl tot'!H48&lt;tabellen!$E$6,0,(+'wgl tot'!U48-tabellen!$E$6*'wgl tot'!H48)/12*tabellen!$D$6)</f>
        <v>#DIV/0!</v>
      </c>
      <c r="BG48" s="485" t="e">
        <f>IF('wgl tot'!U48/'wgl tot'!H48&lt;tabellen!$E$7,0,(+'wgl tot'!U48-tabellen!$E$7*'wgl tot'!H48)/12*tabellen!$D$7)</f>
        <v>#DIV/0!</v>
      </c>
      <c r="BH48" s="485">
        <f>'wgl tot'!U48/12*tabellen!$D$8</f>
        <v>0</v>
      </c>
      <c r="BI48" s="486" t="e">
        <f t="shared" si="16"/>
        <v>#DIV/0!</v>
      </c>
      <c r="BJ48" s="487" t="e">
        <f>+(U48+V48)/12-'wgl tot'!BI48</f>
        <v>#DIV/0!</v>
      </c>
      <c r="BK48" s="487" t="e">
        <f>ROUND(IF('wgl tot'!BJ48&gt;tabellen!$H$11,tabellen!$H$11,'wgl tot'!BJ48)*tabellen!$C$11,2)</f>
        <v>#DIV/0!</v>
      </c>
      <c r="BL48" s="487" t="e">
        <f>+'wgl tot'!BJ48+'wgl tot'!BK48</f>
        <v>#DIV/0!</v>
      </c>
      <c r="BM48" s="488">
        <f t="shared" si="22"/>
        <v>1900</v>
      </c>
      <c r="BN48" s="488">
        <f t="shared" si="23"/>
        <v>1</v>
      </c>
      <c r="BO48" s="481">
        <f t="shared" si="24"/>
        <v>0</v>
      </c>
      <c r="BP48" s="464">
        <f t="shared" si="13"/>
        <v>22462</v>
      </c>
      <c r="BQ48" s="464">
        <f t="shared" ca="1" si="14"/>
        <v>43364.939215393519</v>
      </c>
      <c r="BR48" s="445"/>
      <c r="BS48" s="464"/>
      <c r="BT48" s="445"/>
      <c r="BU48" s="484"/>
      <c r="BV48" s="484"/>
      <c r="BW48" s="484"/>
      <c r="BX48" s="484"/>
      <c r="BY48" s="484"/>
      <c r="BZ48" s="484"/>
      <c r="CA48" s="436"/>
      <c r="CB48" s="436"/>
    </row>
    <row r="49" spans="1:80" s="447" customFormat="1" ht="12" customHeight="1" x14ac:dyDescent="0.2">
      <c r="A49" s="436"/>
      <c r="B49" s="437"/>
      <c r="C49" s="467"/>
      <c r="D49" s="473"/>
      <c r="E49" s="474"/>
      <c r="F49" s="475"/>
      <c r="G49" s="475"/>
      <c r="H49" s="476"/>
      <c r="I49" s="475"/>
      <c r="J49" s="477"/>
      <c r="K49" s="497">
        <f>IF(F49="",0,(VLOOKUP('wgl tot'!F49,saltab2019,'wgl tot'!G49+1,FALSE)))</f>
        <v>0</v>
      </c>
      <c r="L49" s="479">
        <f t="shared" si="0"/>
        <v>0</v>
      </c>
      <c r="M49" s="467"/>
      <c r="N49" s="497">
        <f>ROUND(IF(('wgl tot'!L49+'wgl tot'!P49)*BB49&lt;'wgl tot'!H49*tabellen!$D$43,'wgl tot'!H49*tabellen!$D$43,('wgl tot'!L49+'wgl tot'!P49)*BB49),2)</f>
        <v>0</v>
      </c>
      <c r="O49" s="497">
        <f>ROUND(+('wgl tot'!L49+'wgl tot'!P49)*BC49,2)</f>
        <v>0</v>
      </c>
      <c r="P49" s="497">
        <f>ROUND(IF(I49="j",VLOOKUP(AZ49,uitlooptoeslag,2,FALSE))*IF('wgl tot'!H49&gt;1,1,'wgl tot'!H49),2)</f>
        <v>0</v>
      </c>
      <c r="Q49" s="497">
        <f>ROUND(IF(BE49="j",tabellen!$D$52*IF('wgl tot'!H49&gt;1,1,'wgl tot'!H49),0),2)</f>
        <v>0</v>
      </c>
      <c r="R49" s="497">
        <f>IF(AND(F49&gt;0,F49&lt;17),tabellen!$C$37*'wgl tot'!H49,0)</f>
        <v>0</v>
      </c>
      <c r="S49" s="497">
        <f>VLOOKUP(BD49,eindejaarsuitkering_OOP,2,TRUE)*'wgl tot'!H49/12</f>
        <v>0</v>
      </c>
      <c r="T49" s="497">
        <f>ROUND('wgl tot'!H49*tabellen!$D$50,2)</f>
        <v>0</v>
      </c>
      <c r="U49" s="498">
        <f t="shared" si="17"/>
        <v>0</v>
      </c>
      <c r="V49" s="497">
        <f>('wgl tot'!L49+'wgl tot'!P49)*tabellen!$C$39*12</f>
        <v>0</v>
      </c>
      <c r="W49" s="479">
        <f t="shared" si="10"/>
        <v>0</v>
      </c>
      <c r="X49" s="467"/>
      <c r="Y49" s="498">
        <f t="shared" si="11"/>
        <v>0</v>
      </c>
      <c r="Z49" s="674">
        <f>+'wgl tot'!V49/12</f>
        <v>0</v>
      </c>
      <c r="AA49" s="467"/>
      <c r="AB49" s="497">
        <f>IF(F49="",0,(IF('wgl tot'!U49/'wgl tot'!H49&lt;tabellen!$E$6,0,('wgl tot'!U49-tabellen!$E$6*'wgl tot'!H49)/12)*tabellen!$C$6))</f>
        <v>0</v>
      </c>
      <c r="AC49" s="497">
        <f>IF(F49="",0,(IF('wgl tot'!U49/'wgl tot'!H49&lt;tabellen!$E$7,0,(+'wgl tot'!U49-tabellen!$E$7*'wgl tot'!H49)/12)*tabellen!$C$7))</f>
        <v>0</v>
      </c>
      <c r="AD49" s="497">
        <f>'wgl tot'!U49/12*tabellen!$C$8</f>
        <v>0</v>
      </c>
      <c r="AE49" s="497">
        <f>IF(H49=0,0,IF(BJ49&gt;tabellen!$G$9/12,tabellen!$G$9/12,BJ49)*(tabellen!$C$9+tabellen!$C$10))</f>
        <v>0</v>
      </c>
      <c r="AF49" s="497">
        <f>IF(F49="",0,('wgl tot'!BK49))</f>
        <v>0</v>
      </c>
      <c r="AG49" s="499">
        <f>IF(F49="",0,(IF('wgl tot'!BJ49&gt;tabellen!$G$12*'wgl tot'!H49/12,tabellen!$G$12*'wgl tot'!H49/12,'wgl tot'!BJ49)*tabellen!$C$12))</f>
        <v>0</v>
      </c>
      <c r="AH49" s="467"/>
      <c r="AI49" s="499">
        <f>IF(F49="",0,('wgl tot'!BJ49*IF(J49=1,tabellen!$C$13,IF(J49=2,tabellen!$C$14,IF(J49=3,tabellen!$C$15,tabellen!$C$16)))))</f>
        <v>0</v>
      </c>
      <c r="AJ49" s="499">
        <f>IF(F49="",0,('wgl tot'!BJ49*tabellen!$C$17))</f>
        <v>0</v>
      </c>
      <c r="AK49" s="679">
        <v>0</v>
      </c>
      <c r="AL49" s="467"/>
      <c r="AM49" s="479">
        <f t="shared" si="18"/>
        <v>0</v>
      </c>
      <c r="AN49" s="479">
        <f t="shared" si="12"/>
        <v>0</v>
      </c>
      <c r="AO49" s="467"/>
      <c r="AP49" s="503" t="str">
        <f t="shared" si="19"/>
        <v/>
      </c>
      <c r="AQ49" s="503" t="str">
        <f t="shared" si="20"/>
        <v/>
      </c>
      <c r="AR49" s="467"/>
      <c r="AS49" s="444"/>
      <c r="AT49" s="436"/>
      <c r="AU49" s="436"/>
      <c r="AV49" s="481">
        <f ca="1">YEAR('wgl tot'!$AV$9)-YEAR('wgl tot'!E49)</f>
        <v>118</v>
      </c>
      <c r="AW49" s="481">
        <f ca="1">MONTH('wgl tot'!$AV$9)-MONTH('wgl tot'!E49)</f>
        <v>8</v>
      </c>
      <c r="AX49" s="481">
        <f ca="1">DAY('wgl tot'!$AV$9)-DAY('wgl tot'!E49)</f>
        <v>21</v>
      </c>
      <c r="AY49" s="445">
        <f>IF(AND('wgl tot'!F49&gt;0,'wgl tot'!F49&lt;17),0,100)</f>
        <v>100</v>
      </c>
      <c r="AZ49" s="445">
        <f t="shared" si="21"/>
        <v>0</v>
      </c>
      <c r="BA49" s="464">
        <v>42583</v>
      </c>
      <c r="BB49" s="482">
        <f t="shared" si="15"/>
        <v>0.08</v>
      </c>
      <c r="BC49" s="483">
        <f>+tabellen!$D$44</f>
        <v>6.3E-2</v>
      </c>
      <c r="BD49" s="481">
        <f>IF('wgl tot'!AY49=100,0,'wgl tot'!F49)</f>
        <v>0</v>
      </c>
      <c r="BE49" s="483" t="str">
        <f>IF(OR('wgl tot'!F49="DA",'wgl tot'!F49="DB",'wgl tot'!F49="DBuit",'wgl tot'!F49="DC",'wgl tot'!F49="DCuit",MID('wgl tot'!F49,1,5)="meerh"),"j","n")</f>
        <v>n</v>
      </c>
      <c r="BF49" s="485" t="e">
        <f>IF('wgl tot'!U49/'wgl tot'!H49&lt;tabellen!$E$6,0,(+'wgl tot'!U49-tabellen!$E$6*'wgl tot'!H49)/12*tabellen!$D$6)</f>
        <v>#DIV/0!</v>
      </c>
      <c r="BG49" s="485" t="e">
        <f>IF('wgl tot'!U49/'wgl tot'!H49&lt;tabellen!$E$7,0,(+'wgl tot'!U49-tabellen!$E$7*'wgl tot'!H49)/12*tabellen!$D$7)</f>
        <v>#DIV/0!</v>
      </c>
      <c r="BH49" s="485">
        <f>'wgl tot'!U49/12*tabellen!$D$8</f>
        <v>0</v>
      </c>
      <c r="BI49" s="486" t="e">
        <f t="shared" si="16"/>
        <v>#DIV/0!</v>
      </c>
      <c r="BJ49" s="487" t="e">
        <f>+(U49+V49)/12-'wgl tot'!BI49</f>
        <v>#DIV/0!</v>
      </c>
      <c r="BK49" s="487" t="e">
        <f>ROUND(IF('wgl tot'!BJ49&gt;tabellen!$H$11,tabellen!$H$11,'wgl tot'!BJ49)*tabellen!$C$11,2)</f>
        <v>#DIV/0!</v>
      </c>
      <c r="BL49" s="487" t="e">
        <f>+'wgl tot'!BJ49+'wgl tot'!BK49</f>
        <v>#DIV/0!</v>
      </c>
      <c r="BM49" s="488">
        <f t="shared" si="22"/>
        <v>1900</v>
      </c>
      <c r="BN49" s="488">
        <f t="shared" si="23"/>
        <v>1</v>
      </c>
      <c r="BO49" s="481">
        <f t="shared" si="24"/>
        <v>0</v>
      </c>
      <c r="BP49" s="464">
        <f t="shared" si="13"/>
        <v>22462</v>
      </c>
      <c r="BQ49" s="464">
        <f t="shared" ca="1" si="14"/>
        <v>43364.939215393519</v>
      </c>
      <c r="BR49" s="445"/>
      <c r="BS49" s="464"/>
      <c r="BT49" s="445"/>
      <c r="BU49" s="484"/>
      <c r="BV49" s="484"/>
      <c r="BW49" s="484"/>
      <c r="BX49" s="484"/>
      <c r="BY49" s="484"/>
      <c r="BZ49" s="484"/>
      <c r="CA49" s="436"/>
      <c r="CB49" s="436"/>
    </row>
    <row r="50" spans="1:80" s="447" customFormat="1" ht="12" customHeight="1" x14ac:dyDescent="0.2">
      <c r="A50" s="436"/>
      <c r="B50" s="437"/>
      <c r="C50" s="467"/>
      <c r="D50" s="473"/>
      <c r="E50" s="474"/>
      <c r="F50" s="475"/>
      <c r="G50" s="475"/>
      <c r="H50" s="476"/>
      <c r="I50" s="475"/>
      <c r="J50" s="477"/>
      <c r="K50" s="497">
        <f>IF(F50="",0,(VLOOKUP('wgl tot'!F50,saltab2019,'wgl tot'!G50+1,FALSE)))</f>
        <v>0</v>
      </c>
      <c r="L50" s="479">
        <f t="shared" si="0"/>
        <v>0</v>
      </c>
      <c r="M50" s="467"/>
      <c r="N50" s="497">
        <f>ROUND(IF(('wgl tot'!L50+'wgl tot'!P50)*BB50&lt;'wgl tot'!H50*tabellen!$D$43,'wgl tot'!H50*tabellen!$D$43,('wgl tot'!L50+'wgl tot'!P50)*BB50),2)</f>
        <v>0</v>
      </c>
      <c r="O50" s="497">
        <f>ROUND(+('wgl tot'!L50+'wgl tot'!P50)*BC50,2)</f>
        <v>0</v>
      </c>
      <c r="P50" s="497">
        <f>ROUND(IF(I50="j",VLOOKUP(AZ50,uitlooptoeslag,2,FALSE))*IF('wgl tot'!H50&gt;1,1,'wgl tot'!H50),2)</f>
        <v>0</v>
      </c>
      <c r="Q50" s="497">
        <f>ROUND(IF(BE50="j",tabellen!$D$52*IF('wgl tot'!H50&gt;1,1,'wgl tot'!H50),0),2)</f>
        <v>0</v>
      </c>
      <c r="R50" s="497">
        <f>IF(AND(F50&gt;0,F50&lt;17),tabellen!$C$37*'wgl tot'!H50,0)</f>
        <v>0</v>
      </c>
      <c r="S50" s="497">
        <f>VLOOKUP(BD50,eindejaarsuitkering_OOP,2,TRUE)*'wgl tot'!H50/12</f>
        <v>0</v>
      </c>
      <c r="T50" s="497">
        <f>ROUND('wgl tot'!H50*tabellen!$D$50,2)</f>
        <v>0</v>
      </c>
      <c r="U50" s="498">
        <f t="shared" si="17"/>
        <v>0</v>
      </c>
      <c r="V50" s="497">
        <f>('wgl tot'!L50+'wgl tot'!P50)*tabellen!$C$39*12</f>
        <v>0</v>
      </c>
      <c r="W50" s="479">
        <f t="shared" si="10"/>
        <v>0</v>
      </c>
      <c r="X50" s="467"/>
      <c r="Y50" s="498">
        <f t="shared" si="11"/>
        <v>0</v>
      </c>
      <c r="Z50" s="674">
        <f>+'wgl tot'!V50/12</f>
        <v>0</v>
      </c>
      <c r="AA50" s="467"/>
      <c r="AB50" s="497">
        <f>IF(F50="",0,(IF('wgl tot'!U50/'wgl tot'!H50&lt;tabellen!$E$6,0,('wgl tot'!U50-tabellen!$E$6*'wgl tot'!H50)/12)*tabellen!$C$6))</f>
        <v>0</v>
      </c>
      <c r="AC50" s="497">
        <f>IF(F50="",0,(IF('wgl tot'!U50/'wgl tot'!H50&lt;tabellen!$E$7,0,(+'wgl tot'!U50-tabellen!$E$7*'wgl tot'!H50)/12)*tabellen!$C$7))</f>
        <v>0</v>
      </c>
      <c r="AD50" s="497">
        <f>'wgl tot'!U50/12*tabellen!$C$8</f>
        <v>0</v>
      </c>
      <c r="AE50" s="497">
        <f>IF(H50=0,0,IF(BJ50&gt;tabellen!$G$9/12,tabellen!$G$9/12,BJ50)*(tabellen!$C$9+tabellen!$C$10))</f>
        <v>0</v>
      </c>
      <c r="AF50" s="497">
        <f>IF(F50="",0,('wgl tot'!BK50))</f>
        <v>0</v>
      </c>
      <c r="AG50" s="499">
        <f>IF(F50="",0,(IF('wgl tot'!BJ50&gt;tabellen!$G$12*'wgl tot'!H50/12,tabellen!$G$12*'wgl tot'!H50/12,'wgl tot'!BJ50)*tabellen!$C$12))</f>
        <v>0</v>
      </c>
      <c r="AH50" s="467"/>
      <c r="AI50" s="499">
        <f>IF(F50="",0,('wgl tot'!BJ50*IF(J50=1,tabellen!$C$13,IF(J50=2,tabellen!$C$14,IF(J50=3,tabellen!$C$15,tabellen!$C$16)))))</f>
        <v>0</v>
      </c>
      <c r="AJ50" s="499">
        <f>IF(F50="",0,('wgl tot'!BJ50*tabellen!$C$17))</f>
        <v>0</v>
      </c>
      <c r="AK50" s="679">
        <v>0</v>
      </c>
      <c r="AL50" s="467"/>
      <c r="AM50" s="479">
        <f t="shared" si="18"/>
        <v>0</v>
      </c>
      <c r="AN50" s="479">
        <f t="shared" si="12"/>
        <v>0</v>
      </c>
      <c r="AO50" s="467"/>
      <c r="AP50" s="503" t="str">
        <f t="shared" si="19"/>
        <v/>
      </c>
      <c r="AQ50" s="503" t="str">
        <f t="shared" si="20"/>
        <v/>
      </c>
      <c r="AR50" s="467"/>
      <c r="AS50" s="444"/>
      <c r="AT50" s="436"/>
      <c r="AU50" s="436"/>
      <c r="AV50" s="481">
        <f ca="1">YEAR('wgl tot'!$AV$9)-YEAR('wgl tot'!E50)</f>
        <v>118</v>
      </c>
      <c r="AW50" s="481">
        <f ca="1">MONTH('wgl tot'!$AV$9)-MONTH('wgl tot'!E50)</f>
        <v>8</v>
      </c>
      <c r="AX50" s="481">
        <f ca="1">DAY('wgl tot'!$AV$9)-DAY('wgl tot'!E50)</f>
        <v>21</v>
      </c>
      <c r="AY50" s="445">
        <f>IF(AND('wgl tot'!F50&gt;0,'wgl tot'!F50&lt;17),0,100)</f>
        <v>100</v>
      </c>
      <c r="AZ50" s="445">
        <f t="shared" si="21"/>
        <v>0</v>
      </c>
      <c r="BA50" s="464">
        <v>42583</v>
      </c>
      <c r="BB50" s="482">
        <f t="shared" si="15"/>
        <v>0.08</v>
      </c>
      <c r="BC50" s="483">
        <f>+tabellen!$D$44</f>
        <v>6.3E-2</v>
      </c>
      <c r="BD50" s="481">
        <f>IF('wgl tot'!AY50=100,0,'wgl tot'!F50)</f>
        <v>0</v>
      </c>
      <c r="BE50" s="483" t="str">
        <f>IF(OR('wgl tot'!F50="DA",'wgl tot'!F50="DB",'wgl tot'!F50="DBuit",'wgl tot'!F50="DC",'wgl tot'!F50="DCuit",MID('wgl tot'!F50,1,5)="meerh"),"j","n")</f>
        <v>n</v>
      </c>
      <c r="BF50" s="485" t="e">
        <f>IF('wgl tot'!U50/'wgl tot'!H50&lt;tabellen!$E$6,0,(+'wgl tot'!U50-tabellen!$E$6*'wgl tot'!H50)/12*tabellen!$D$6)</f>
        <v>#DIV/0!</v>
      </c>
      <c r="BG50" s="485" t="e">
        <f>IF('wgl tot'!U50/'wgl tot'!H50&lt;tabellen!$E$7,0,(+'wgl tot'!U50-tabellen!$E$7*'wgl tot'!H50)/12*tabellen!$D$7)</f>
        <v>#DIV/0!</v>
      </c>
      <c r="BH50" s="485">
        <f>'wgl tot'!U50/12*tabellen!$D$8</f>
        <v>0</v>
      </c>
      <c r="BI50" s="486" t="e">
        <f t="shared" si="16"/>
        <v>#DIV/0!</v>
      </c>
      <c r="BJ50" s="487" t="e">
        <f>+(U50+V50)/12-'wgl tot'!BI50</f>
        <v>#DIV/0!</v>
      </c>
      <c r="BK50" s="487" t="e">
        <f>ROUND(IF('wgl tot'!BJ50&gt;tabellen!$H$11,tabellen!$H$11,'wgl tot'!BJ50)*tabellen!$C$11,2)</f>
        <v>#DIV/0!</v>
      </c>
      <c r="BL50" s="487" t="e">
        <f>+'wgl tot'!BJ50+'wgl tot'!BK50</f>
        <v>#DIV/0!</v>
      </c>
      <c r="BM50" s="488">
        <f t="shared" si="22"/>
        <v>1900</v>
      </c>
      <c r="BN50" s="488">
        <f t="shared" si="23"/>
        <v>1</v>
      </c>
      <c r="BO50" s="481">
        <f t="shared" si="24"/>
        <v>0</v>
      </c>
      <c r="BP50" s="464">
        <f t="shared" si="13"/>
        <v>22462</v>
      </c>
      <c r="BQ50" s="464">
        <f t="shared" ca="1" si="14"/>
        <v>43364.939215393519</v>
      </c>
      <c r="BR50" s="445"/>
      <c r="BS50" s="464"/>
      <c r="BT50" s="445"/>
      <c r="BU50" s="484"/>
      <c r="BV50" s="484"/>
      <c r="BW50" s="484"/>
      <c r="BX50" s="484"/>
      <c r="BY50" s="484"/>
      <c r="BZ50" s="484"/>
      <c r="CA50" s="436"/>
      <c r="CB50" s="436"/>
    </row>
    <row r="51" spans="1:80" s="447" customFormat="1" ht="12" customHeight="1" x14ac:dyDescent="0.2">
      <c r="A51" s="436"/>
      <c r="B51" s="437"/>
      <c r="C51" s="467"/>
      <c r="D51" s="473"/>
      <c r="E51" s="474"/>
      <c r="F51" s="475"/>
      <c r="G51" s="475"/>
      <c r="H51" s="476"/>
      <c r="I51" s="475"/>
      <c r="J51" s="477"/>
      <c r="K51" s="497">
        <f>IF(F51="",0,(VLOOKUP('wgl tot'!F51,saltab2019,'wgl tot'!G51+1,FALSE)))</f>
        <v>0</v>
      </c>
      <c r="L51" s="479">
        <f t="shared" ref="L51:L70" si="25">K51*H51</f>
        <v>0</v>
      </c>
      <c r="M51" s="467"/>
      <c r="N51" s="497">
        <f>ROUND(IF(('wgl tot'!L51+'wgl tot'!P51)*BB51&lt;'wgl tot'!H51*tabellen!$D$43,'wgl tot'!H51*tabellen!$D$43,('wgl tot'!L51+'wgl tot'!P51)*BB51),2)</f>
        <v>0</v>
      </c>
      <c r="O51" s="497">
        <f>ROUND(+('wgl tot'!L51+'wgl tot'!P51)*BC51,2)</f>
        <v>0</v>
      </c>
      <c r="P51" s="497">
        <f>ROUND(IF(I51="j",VLOOKUP(AZ51,uitlooptoeslag,2,FALSE))*IF('wgl tot'!H51&gt;1,1,'wgl tot'!H51),2)</f>
        <v>0</v>
      </c>
      <c r="Q51" s="497">
        <f>ROUND(IF(BE51="j",tabellen!$D$52*IF('wgl tot'!H51&gt;1,1,'wgl tot'!H51),0),2)</f>
        <v>0</v>
      </c>
      <c r="R51" s="497">
        <f>IF(AND(F51&gt;0,F51&lt;17),tabellen!$C$37*'wgl tot'!H51,0)</f>
        <v>0</v>
      </c>
      <c r="S51" s="497">
        <f>VLOOKUP(BD51,eindejaarsuitkering_OOP,2,TRUE)*'wgl tot'!H51/12</f>
        <v>0</v>
      </c>
      <c r="T51" s="497">
        <f>ROUND('wgl tot'!H51*tabellen!$D$50,2)</f>
        <v>0</v>
      </c>
      <c r="U51" s="498">
        <f t="shared" si="17"/>
        <v>0</v>
      </c>
      <c r="V51" s="497">
        <f>('wgl tot'!L51+'wgl tot'!P51)*tabellen!$C$39*12</f>
        <v>0</v>
      </c>
      <c r="W51" s="479">
        <f t="shared" si="10"/>
        <v>0</v>
      </c>
      <c r="X51" s="467"/>
      <c r="Y51" s="498">
        <f t="shared" ref="Y51:Y70" si="26">U51/12</f>
        <v>0</v>
      </c>
      <c r="Z51" s="674">
        <f>+'wgl tot'!V51/12</f>
        <v>0</v>
      </c>
      <c r="AA51" s="467"/>
      <c r="AB51" s="497">
        <f>IF(F51="",0,(IF('wgl tot'!U51/'wgl tot'!H51&lt;tabellen!$E$6,0,('wgl tot'!U51-tabellen!$E$6*'wgl tot'!H51)/12)*tabellen!$C$6))</f>
        <v>0</v>
      </c>
      <c r="AC51" s="497">
        <f>IF(F51="",0,(IF('wgl tot'!U51/'wgl tot'!H51&lt;tabellen!$E$7,0,(+'wgl tot'!U51-tabellen!$E$7*'wgl tot'!H51)/12)*tabellen!$C$7))</f>
        <v>0</v>
      </c>
      <c r="AD51" s="497">
        <f>'wgl tot'!U51/12*tabellen!$C$8</f>
        <v>0</v>
      </c>
      <c r="AE51" s="497">
        <f>IF(H51=0,0,IF(BJ51&gt;tabellen!$G$9/12,tabellen!$G$9/12,BJ51)*(tabellen!$C$9+tabellen!$C$10))</f>
        <v>0</v>
      </c>
      <c r="AF51" s="497">
        <f>IF(F51="",0,('wgl tot'!BK51))</f>
        <v>0</v>
      </c>
      <c r="AG51" s="499">
        <f>IF(F51="",0,(IF('wgl tot'!BJ51&gt;tabellen!$G$12*'wgl tot'!H51/12,tabellen!$G$12*'wgl tot'!H51/12,'wgl tot'!BJ51)*tabellen!$C$12))</f>
        <v>0</v>
      </c>
      <c r="AH51" s="467"/>
      <c r="AI51" s="499">
        <f>IF(F51="",0,('wgl tot'!BJ51*IF(J51=1,tabellen!$C$13,IF(J51=2,tabellen!$C$14,IF(J51=3,tabellen!$C$15,tabellen!$C$16)))))</f>
        <v>0</v>
      </c>
      <c r="AJ51" s="499">
        <f>IF(F51="",0,('wgl tot'!BJ51*tabellen!$C$17))</f>
        <v>0</v>
      </c>
      <c r="AK51" s="679">
        <v>0</v>
      </c>
      <c r="AL51" s="467"/>
      <c r="AM51" s="479">
        <f t="shared" si="18"/>
        <v>0</v>
      </c>
      <c r="AN51" s="479">
        <f t="shared" ref="AN51:AN70" si="27">AM51*12</f>
        <v>0</v>
      </c>
      <c r="AO51" s="467"/>
      <c r="AP51" s="503" t="str">
        <f t="shared" si="19"/>
        <v/>
      </c>
      <c r="AQ51" s="503" t="str">
        <f t="shared" si="20"/>
        <v/>
      </c>
      <c r="AR51" s="467"/>
      <c r="AS51" s="444"/>
      <c r="AT51" s="436"/>
      <c r="AU51" s="436"/>
      <c r="AV51" s="481">
        <f ca="1">YEAR('wgl tot'!$AV$9)-YEAR('wgl tot'!E51)</f>
        <v>118</v>
      </c>
      <c r="AW51" s="481">
        <f ca="1">MONTH('wgl tot'!$AV$9)-MONTH('wgl tot'!E51)</f>
        <v>8</v>
      </c>
      <c r="AX51" s="481">
        <f ca="1">DAY('wgl tot'!$AV$9)-DAY('wgl tot'!E51)</f>
        <v>21</v>
      </c>
      <c r="AY51" s="445">
        <f>IF(AND('wgl tot'!F51&gt;0,'wgl tot'!F51&lt;17),0,100)</f>
        <v>100</v>
      </c>
      <c r="AZ51" s="445">
        <f t="shared" si="21"/>
        <v>0</v>
      </c>
      <c r="BA51" s="464">
        <v>42583</v>
      </c>
      <c r="BB51" s="482">
        <f t="shared" si="15"/>
        <v>0.08</v>
      </c>
      <c r="BC51" s="483">
        <f>+tabellen!$D$44</f>
        <v>6.3E-2</v>
      </c>
      <c r="BD51" s="481">
        <f>IF('wgl tot'!AY51=100,0,'wgl tot'!F51)</f>
        <v>0</v>
      </c>
      <c r="BE51" s="483" t="str">
        <f>IF(OR('wgl tot'!F51="DA",'wgl tot'!F51="DB",'wgl tot'!F51="DBuit",'wgl tot'!F51="DC",'wgl tot'!F51="DCuit",MID('wgl tot'!F51,1,5)="meerh"),"j","n")</f>
        <v>n</v>
      </c>
      <c r="BF51" s="485" t="e">
        <f>IF('wgl tot'!U51/'wgl tot'!H51&lt;tabellen!$E$6,0,(+'wgl tot'!U51-tabellen!$E$6*'wgl tot'!H51)/12*tabellen!$D$6)</f>
        <v>#DIV/0!</v>
      </c>
      <c r="BG51" s="485" t="e">
        <f>IF('wgl tot'!U51/'wgl tot'!H51&lt;tabellen!$E$7,0,(+'wgl tot'!U51-tabellen!$E$7*'wgl tot'!H51)/12*tabellen!$D$7)</f>
        <v>#DIV/0!</v>
      </c>
      <c r="BH51" s="485">
        <f>'wgl tot'!U51/12*tabellen!$D$8</f>
        <v>0</v>
      </c>
      <c r="BI51" s="486" t="e">
        <f t="shared" ref="BI51:BI70" si="28">SUM(BF51:BH51)</f>
        <v>#DIV/0!</v>
      </c>
      <c r="BJ51" s="487" t="e">
        <f>+(U51+V51)/12-'wgl tot'!BI51</f>
        <v>#DIV/0!</v>
      </c>
      <c r="BK51" s="487" t="e">
        <f>ROUND(IF('wgl tot'!BJ51&gt;tabellen!$H$11,tabellen!$H$11,'wgl tot'!BJ51)*tabellen!$C$11,2)</f>
        <v>#DIV/0!</v>
      </c>
      <c r="BL51" s="487" t="e">
        <f>+'wgl tot'!BJ51+'wgl tot'!BK51</f>
        <v>#DIV/0!</v>
      </c>
      <c r="BM51" s="488">
        <f t="shared" si="22"/>
        <v>1900</v>
      </c>
      <c r="BN51" s="488">
        <f t="shared" si="23"/>
        <v>1</v>
      </c>
      <c r="BO51" s="481">
        <f t="shared" si="24"/>
        <v>0</v>
      </c>
      <c r="BP51" s="464">
        <f t="shared" ref="BP51:BP70" si="29">DATE(BM51+61,BN51+6,BO51)</f>
        <v>22462</v>
      </c>
      <c r="BQ51" s="464">
        <f t="shared" ca="1" si="14"/>
        <v>43364.939215393519</v>
      </c>
      <c r="BR51" s="445"/>
      <c r="BS51" s="464"/>
      <c r="BT51" s="445"/>
      <c r="BU51" s="484"/>
      <c r="BV51" s="484"/>
      <c r="BW51" s="484"/>
      <c r="BX51" s="484"/>
      <c r="BY51" s="484"/>
      <c r="BZ51" s="484"/>
      <c r="CA51" s="436"/>
      <c r="CB51" s="436"/>
    </row>
    <row r="52" spans="1:80" s="447" customFormat="1" ht="12" customHeight="1" x14ac:dyDescent="0.2">
      <c r="A52" s="436"/>
      <c r="B52" s="437"/>
      <c r="C52" s="467"/>
      <c r="D52" s="473"/>
      <c r="E52" s="474"/>
      <c r="F52" s="475"/>
      <c r="G52" s="475"/>
      <c r="H52" s="476"/>
      <c r="I52" s="475"/>
      <c r="J52" s="477"/>
      <c r="K52" s="497">
        <f>IF(F52="",0,(VLOOKUP('wgl tot'!F52,saltab2019,'wgl tot'!G52+1,FALSE)))</f>
        <v>0</v>
      </c>
      <c r="L52" s="479">
        <f t="shared" si="25"/>
        <v>0</v>
      </c>
      <c r="M52" s="467"/>
      <c r="N52" s="497">
        <f>ROUND(IF(('wgl tot'!L52+'wgl tot'!P52)*BB52&lt;'wgl tot'!H52*tabellen!$D$43,'wgl tot'!H52*tabellen!$D$43,('wgl tot'!L52+'wgl tot'!P52)*BB52),2)</f>
        <v>0</v>
      </c>
      <c r="O52" s="497">
        <f>ROUND(+('wgl tot'!L52+'wgl tot'!P52)*BC52,2)</f>
        <v>0</v>
      </c>
      <c r="P52" s="497">
        <f>ROUND(IF(I52="j",VLOOKUP(AZ52,uitlooptoeslag,2,FALSE))*IF('wgl tot'!H52&gt;1,1,'wgl tot'!H52),2)</f>
        <v>0</v>
      </c>
      <c r="Q52" s="497">
        <f>ROUND(IF(BE52="j",tabellen!$D$52*IF('wgl tot'!H52&gt;1,1,'wgl tot'!H52),0),2)</f>
        <v>0</v>
      </c>
      <c r="R52" s="497">
        <f>IF(AND(F52&gt;0,F52&lt;17),tabellen!$C$37*'wgl tot'!H52,0)</f>
        <v>0</v>
      </c>
      <c r="S52" s="497">
        <f>VLOOKUP(BD52,eindejaarsuitkering_OOP,2,TRUE)*'wgl tot'!H52/12</f>
        <v>0</v>
      </c>
      <c r="T52" s="497">
        <f>ROUND('wgl tot'!H52*tabellen!$D$50,2)</f>
        <v>0</v>
      </c>
      <c r="U52" s="498">
        <f t="shared" si="17"/>
        <v>0</v>
      </c>
      <c r="V52" s="497">
        <f>('wgl tot'!L52+'wgl tot'!P52)*tabellen!$C$39*12</f>
        <v>0</v>
      </c>
      <c r="W52" s="479">
        <f t="shared" si="10"/>
        <v>0</v>
      </c>
      <c r="X52" s="467"/>
      <c r="Y52" s="498">
        <f t="shared" si="26"/>
        <v>0</v>
      </c>
      <c r="Z52" s="674">
        <f>+'wgl tot'!V52/12</f>
        <v>0</v>
      </c>
      <c r="AA52" s="467"/>
      <c r="AB52" s="497">
        <f>IF(F52="",0,(IF('wgl tot'!U52/'wgl tot'!H52&lt;tabellen!$E$6,0,('wgl tot'!U52-tabellen!$E$6*'wgl tot'!H52)/12)*tabellen!$C$6))</f>
        <v>0</v>
      </c>
      <c r="AC52" s="497">
        <f>IF(F52="",0,(IF('wgl tot'!U52/'wgl tot'!H52&lt;tabellen!$E$7,0,(+'wgl tot'!U52-tabellen!$E$7*'wgl tot'!H52)/12)*tabellen!$C$7))</f>
        <v>0</v>
      </c>
      <c r="AD52" s="497">
        <f>'wgl tot'!U52/12*tabellen!$C$8</f>
        <v>0</v>
      </c>
      <c r="AE52" s="497">
        <f>IF(H52=0,0,IF(BJ52&gt;tabellen!$G$9/12,tabellen!$G$9/12,BJ52)*(tabellen!$C$9+tabellen!$C$10))</f>
        <v>0</v>
      </c>
      <c r="AF52" s="497">
        <f>IF(F52="",0,('wgl tot'!BK52))</f>
        <v>0</v>
      </c>
      <c r="AG52" s="499">
        <f>IF(F52="",0,(IF('wgl tot'!BJ52&gt;tabellen!$G$12*'wgl tot'!H52/12,tabellen!$G$12*'wgl tot'!H52/12,'wgl tot'!BJ52)*tabellen!$C$12))</f>
        <v>0</v>
      </c>
      <c r="AH52" s="467"/>
      <c r="AI52" s="499">
        <f>IF(F52="",0,('wgl tot'!BJ52*IF(J52=1,tabellen!$C$13,IF(J52=2,tabellen!$C$14,IF(J52=3,tabellen!$C$15,tabellen!$C$16)))))</f>
        <v>0</v>
      </c>
      <c r="AJ52" s="499">
        <f>IF(F52="",0,('wgl tot'!BJ52*tabellen!$C$17))</f>
        <v>0</v>
      </c>
      <c r="AK52" s="679">
        <v>0</v>
      </c>
      <c r="AL52" s="467"/>
      <c r="AM52" s="479">
        <f t="shared" si="18"/>
        <v>0</v>
      </c>
      <c r="AN52" s="479">
        <f t="shared" si="27"/>
        <v>0</v>
      </c>
      <c r="AO52" s="467"/>
      <c r="AP52" s="503" t="str">
        <f t="shared" si="19"/>
        <v/>
      </c>
      <c r="AQ52" s="503" t="str">
        <f t="shared" si="20"/>
        <v/>
      </c>
      <c r="AR52" s="467"/>
      <c r="AS52" s="444"/>
      <c r="AT52" s="436"/>
      <c r="AU52" s="436"/>
      <c r="AV52" s="481">
        <f ca="1">YEAR('wgl tot'!$AV$9)-YEAR('wgl tot'!E52)</f>
        <v>118</v>
      </c>
      <c r="AW52" s="481">
        <f ca="1">MONTH('wgl tot'!$AV$9)-MONTH('wgl tot'!E52)</f>
        <v>8</v>
      </c>
      <c r="AX52" s="481">
        <f ca="1">DAY('wgl tot'!$AV$9)-DAY('wgl tot'!E52)</f>
        <v>21</v>
      </c>
      <c r="AY52" s="445">
        <f>IF(AND('wgl tot'!F52&gt;0,'wgl tot'!F52&lt;17),0,100)</f>
        <v>100</v>
      </c>
      <c r="AZ52" s="445">
        <f t="shared" si="21"/>
        <v>0</v>
      </c>
      <c r="BA52" s="464">
        <v>42583</v>
      </c>
      <c r="BB52" s="482">
        <f t="shared" si="15"/>
        <v>0.08</v>
      </c>
      <c r="BC52" s="483">
        <f>+tabellen!$D$44</f>
        <v>6.3E-2</v>
      </c>
      <c r="BD52" s="481">
        <f>IF('wgl tot'!AY52=100,0,'wgl tot'!F52)</f>
        <v>0</v>
      </c>
      <c r="BE52" s="483" t="str">
        <f>IF(OR('wgl tot'!F52="DA",'wgl tot'!F52="DB",'wgl tot'!F52="DBuit",'wgl tot'!F52="DC",'wgl tot'!F52="DCuit",MID('wgl tot'!F52,1,5)="meerh"),"j","n")</f>
        <v>n</v>
      </c>
      <c r="BF52" s="485" t="e">
        <f>IF('wgl tot'!U52/'wgl tot'!H52&lt;tabellen!$E$6,0,(+'wgl tot'!U52-tabellen!$E$6*'wgl tot'!H52)/12*tabellen!$D$6)</f>
        <v>#DIV/0!</v>
      </c>
      <c r="BG52" s="485" t="e">
        <f>IF('wgl tot'!U52/'wgl tot'!H52&lt;tabellen!$E$7,0,(+'wgl tot'!U52-tabellen!$E$7*'wgl tot'!H52)/12*tabellen!$D$7)</f>
        <v>#DIV/0!</v>
      </c>
      <c r="BH52" s="485">
        <f>'wgl tot'!U52/12*tabellen!$D$8</f>
        <v>0</v>
      </c>
      <c r="BI52" s="486" t="e">
        <f t="shared" si="28"/>
        <v>#DIV/0!</v>
      </c>
      <c r="BJ52" s="487" t="e">
        <f>+(U52+V52)/12-'wgl tot'!BI52</f>
        <v>#DIV/0!</v>
      </c>
      <c r="BK52" s="487" t="e">
        <f>ROUND(IF('wgl tot'!BJ52&gt;tabellen!$H$11,tabellen!$H$11,'wgl tot'!BJ52)*tabellen!$C$11,2)</f>
        <v>#DIV/0!</v>
      </c>
      <c r="BL52" s="487" t="e">
        <f>+'wgl tot'!BJ52+'wgl tot'!BK52</f>
        <v>#DIV/0!</v>
      </c>
      <c r="BM52" s="488">
        <f t="shared" si="22"/>
        <v>1900</v>
      </c>
      <c r="BN52" s="488">
        <f t="shared" si="23"/>
        <v>1</v>
      </c>
      <c r="BO52" s="481">
        <f t="shared" si="24"/>
        <v>0</v>
      </c>
      <c r="BP52" s="464">
        <f t="shared" si="29"/>
        <v>22462</v>
      </c>
      <c r="BQ52" s="464">
        <f t="shared" ca="1" si="14"/>
        <v>43364.939215393519</v>
      </c>
      <c r="BR52" s="445"/>
      <c r="BS52" s="464"/>
      <c r="BT52" s="445"/>
      <c r="BU52" s="484"/>
      <c r="BV52" s="484"/>
      <c r="BW52" s="484"/>
      <c r="BX52" s="484"/>
      <c r="BY52" s="484"/>
      <c r="BZ52" s="484"/>
      <c r="CA52" s="436"/>
      <c r="CB52" s="436"/>
    </row>
    <row r="53" spans="1:80" s="447" customFormat="1" ht="12" customHeight="1" x14ac:dyDescent="0.2">
      <c r="A53" s="436"/>
      <c r="B53" s="437"/>
      <c r="C53" s="467"/>
      <c r="D53" s="473"/>
      <c r="E53" s="474"/>
      <c r="F53" s="475"/>
      <c r="G53" s="475"/>
      <c r="H53" s="476"/>
      <c r="I53" s="475"/>
      <c r="J53" s="477"/>
      <c r="K53" s="497">
        <f>IF(F53="",0,(VLOOKUP('wgl tot'!F53,saltab2019,'wgl tot'!G53+1,FALSE)))</f>
        <v>0</v>
      </c>
      <c r="L53" s="479">
        <f t="shared" si="25"/>
        <v>0</v>
      </c>
      <c r="M53" s="467"/>
      <c r="N53" s="497">
        <f>ROUND(IF(('wgl tot'!L53+'wgl tot'!P53)*BB53&lt;'wgl tot'!H53*tabellen!$D$43,'wgl tot'!H53*tabellen!$D$43,('wgl tot'!L53+'wgl tot'!P53)*BB53),2)</f>
        <v>0</v>
      </c>
      <c r="O53" s="497">
        <f>ROUND(+('wgl tot'!L53+'wgl tot'!P53)*BC53,2)</f>
        <v>0</v>
      </c>
      <c r="P53" s="497">
        <f>ROUND(IF(I53="j",VLOOKUP(AZ53,uitlooptoeslag,2,FALSE))*IF('wgl tot'!H53&gt;1,1,'wgl tot'!H53),2)</f>
        <v>0</v>
      </c>
      <c r="Q53" s="497">
        <f>ROUND(IF(BE53="j",tabellen!$D$52*IF('wgl tot'!H53&gt;1,1,'wgl tot'!H53),0),2)</f>
        <v>0</v>
      </c>
      <c r="R53" s="497">
        <f>IF(AND(F53&gt;0,F53&lt;17),tabellen!$C$37*'wgl tot'!H53,0)</f>
        <v>0</v>
      </c>
      <c r="S53" s="497">
        <f>VLOOKUP(BD53,eindejaarsuitkering_OOP,2,TRUE)*'wgl tot'!H53/12</f>
        <v>0</v>
      </c>
      <c r="T53" s="497">
        <f>ROUND('wgl tot'!H53*tabellen!$D$50,2)</f>
        <v>0</v>
      </c>
      <c r="U53" s="498">
        <f t="shared" si="17"/>
        <v>0</v>
      </c>
      <c r="V53" s="497">
        <f>('wgl tot'!L53+'wgl tot'!P53)*tabellen!$C$39*12</f>
        <v>0</v>
      </c>
      <c r="W53" s="479">
        <f t="shared" si="10"/>
        <v>0</v>
      </c>
      <c r="X53" s="467"/>
      <c r="Y53" s="498">
        <f t="shared" si="26"/>
        <v>0</v>
      </c>
      <c r="Z53" s="674">
        <f>+'wgl tot'!V53/12</f>
        <v>0</v>
      </c>
      <c r="AA53" s="467"/>
      <c r="AB53" s="497">
        <f>IF(F53="",0,(IF('wgl tot'!U53/'wgl tot'!H53&lt;tabellen!$E$6,0,('wgl tot'!U53-tabellen!$E$6*'wgl tot'!H53)/12)*tabellen!$C$6))</f>
        <v>0</v>
      </c>
      <c r="AC53" s="497">
        <f>IF(F53="",0,(IF('wgl tot'!U53/'wgl tot'!H53&lt;tabellen!$E$7,0,(+'wgl tot'!U53-tabellen!$E$7*'wgl tot'!H53)/12)*tabellen!$C$7))</f>
        <v>0</v>
      </c>
      <c r="AD53" s="497">
        <f>'wgl tot'!U53/12*tabellen!$C$8</f>
        <v>0</v>
      </c>
      <c r="AE53" s="497">
        <f>IF(H53=0,0,IF(BJ53&gt;tabellen!$G$9/12,tabellen!$G$9/12,BJ53)*(tabellen!$C$9+tabellen!$C$10))</f>
        <v>0</v>
      </c>
      <c r="AF53" s="497">
        <f>IF(F53="",0,('wgl tot'!BK53))</f>
        <v>0</v>
      </c>
      <c r="AG53" s="499">
        <f>IF(F53="",0,(IF('wgl tot'!BJ53&gt;tabellen!$G$12*'wgl tot'!H53/12,tabellen!$G$12*'wgl tot'!H53/12,'wgl tot'!BJ53)*tabellen!$C$12))</f>
        <v>0</v>
      </c>
      <c r="AH53" s="467"/>
      <c r="AI53" s="499">
        <f>IF(F53="",0,('wgl tot'!BJ53*IF(J53=1,tabellen!$C$13,IF(J53=2,tabellen!$C$14,IF(J53=3,tabellen!$C$15,tabellen!$C$16)))))</f>
        <v>0</v>
      </c>
      <c r="AJ53" s="499">
        <f>IF(F53="",0,('wgl tot'!BJ53*tabellen!$C$17))</f>
        <v>0</v>
      </c>
      <c r="AK53" s="679">
        <v>0</v>
      </c>
      <c r="AL53" s="467"/>
      <c r="AM53" s="479">
        <f t="shared" si="18"/>
        <v>0</v>
      </c>
      <c r="AN53" s="479">
        <f t="shared" si="27"/>
        <v>0</v>
      </c>
      <c r="AO53" s="467"/>
      <c r="AP53" s="503" t="str">
        <f t="shared" si="19"/>
        <v/>
      </c>
      <c r="AQ53" s="503" t="str">
        <f t="shared" si="20"/>
        <v/>
      </c>
      <c r="AR53" s="467"/>
      <c r="AS53" s="444"/>
      <c r="AT53" s="436"/>
      <c r="AU53" s="436"/>
      <c r="AV53" s="481">
        <f ca="1">YEAR('wgl tot'!$AV$9)-YEAR('wgl tot'!E53)</f>
        <v>118</v>
      </c>
      <c r="AW53" s="481">
        <f ca="1">MONTH('wgl tot'!$AV$9)-MONTH('wgl tot'!E53)</f>
        <v>8</v>
      </c>
      <c r="AX53" s="481">
        <f ca="1">DAY('wgl tot'!$AV$9)-DAY('wgl tot'!E53)</f>
        <v>21</v>
      </c>
      <c r="AY53" s="445">
        <f>IF(AND('wgl tot'!F53&gt;0,'wgl tot'!F53&lt;17),0,100)</f>
        <v>100</v>
      </c>
      <c r="AZ53" s="445">
        <f t="shared" si="21"/>
        <v>0</v>
      </c>
      <c r="BA53" s="464">
        <v>42583</v>
      </c>
      <c r="BB53" s="482">
        <f t="shared" si="15"/>
        <v>0.08</v>
      </c>
      <c r="BC53" s="483">
        <f>+tabellen!$D$44</f>
        <v>6.3E-2</v>
      </c>
      <c r="BD53" s="481">
        <f>IF('wgl tot'!AY53=100,0,'wgl tot'!F53)</f>
        <v>0</v>
      </c>
      <c r="BE53" s="483" t="str">
        <f>IF(OR('wgl tot'!F53="DA",'wgl tot'!F53="DB",'wgl tot'!F53="DBuit",'wgl tot'!F53="DC",'wgl tot'!F53="DCuit",MID('wgl tot'!F53,1,5)="meerh"),"j","n")</f>
        <v>n</v>
      </c>
      <c r="BF53" s="485" t="e">
        <f>IF('wgl tot'!U53/'wgl tot'!H53&lt;tabellen!$E$6,0,(+'wgl tot'!U53-tabellen!$E$6*'wgl tot'!H53)/12*tabellen!$D$6)</f>
        <v>#DIV/0!</v>
      </c>
      <c r="BG53" s="485" t="e">
        <f>IF('wgl tot'!U53/'wgl tot'!H53&lt;tabellen!$E$7,0,(+'wgl tot'!U53-tabellen!$E$7*'wgl tot'!H53)/12*tabellen!$D$7)</f>
        <v>#DIV/0!</v>
      </c>
      <c r="BH53" s="485">
        <f>'wgl tot'!U53/12*tabellen!$D$8</f>
        <v>0</v>
      </c>
      <c r="BI53" s="486" t="e">
        <f t="shared" si="28"/>
        <v>#DIV/0!</v>
      </c>
      <c r="BJ53" s="487" t="e">
        <f>+(U53+V53)/12-'wgl tot'!BI53</f>
        <v>#DIV/0!</v>
      </c>
      <c r="BK53" s="487" t="e">
        <f>ROUND(IF('wgl tot'!BJ53&gt;tabellen!$H$11,tabellen!$H$11,'wgl tot'!BJ53)*tabellen!$C$11,2)</f>
        <v>#DIV/0!</v>
      </c>
      <c r="BL53" s="487" t="e">
        <f>+'wgl tot'!BJ53+'wgl tot'!BK53</f>
        <v>#DIV/0!</v>
      </c>
      <c r="BM53" s="488">
        <f t="shared" si="22"/>
        <v>1900</v>
      </c>
      <c r="BN53" s="488">
        <f t="shared" si="23"/>
        <v>1</v>
      </c>
      <c r="BO53" s="481">
        <f t="shared" si="24"/>
        <v>0</v>
      </c>
      <c r="BP53" s="464">
        <f t="shared" si="29"/>
        <v>22462</v>
      </c>
      <c r="BQ53" s="464">
        <f t="shared" ca="1" si="14"/>
        <v>43364.939215393519</v>
      </c>
      <c r="BR53" s="445"/>
      <c r="BS53" s="464"/>
      <c r="BT53" s="445"/>
      <c r="BU53" s="484"/>
      <c r="BV53" s="484"/>
      <c r="BW53" s="484"/>
      <c r="BX53" s="484"/>
      <c r="BY53" s="484"/>
      <c r="BZ53" s="484"/>
      <c r="CA53" s="436"/>
      <c r="CB53" s="436"/>
    </row>
    <row r="54" spans="1:80" s="447" customFormat="1" ht="12" customHeight="1" x14ac:dyDescent="0.2">
      <c r="A54" s="436"/>
      <c r="B54" s="437"/>
      <c r="C54" s="467"/>
      <c r="D54" s="473"/>
      <c r="E54" s="474"/>
      <c r="F54" s="475"/>
      <c r="G54" s="475"/>
      <c r="H54" s="476"/>
      <c r="I54" s="475"/>
      <c r="J54" s="477"/>
      <c r="K54" s="497">
        <f>IF(F54="",0,(VLOOKUP('wgl tot'!F54,saltab2019,'wgl tot'!G54+1,FALSE)))</f>
        <v>0</v>
      </c>
      <c r="L54" s="479">
        <f t="shared" si="25"/>
        <v>0</v>
      </c>
      <c r="M54" s="467"/>
      <c r="N54" s="497">
        <f>ROUND(IF(('wgl tot'!L54+'wgl tot'!P54)*BB54&lt;'wgl tot'!H54*tabellen!$D$43,'wgl tot'!H54*tabellen!$D$43,('wgl tot'!L54+'wgl tot'!P54)*BB54),2)</f>
        <v>0</v>
      </c>
      <c r="O54" s="497">
        <f>ROUND(+('wgl tot'!L54+'wgl tot'!P54)*BC54,2)</f>
        <v>0</v>
      </c>
      <c r="P54" s="497">
        <f>ROUND(IF(I54="j",VLOOKUP(AZ54,uitlooptoeslag,2,FALSE))*IF('wgl tot'!H54&gt;1,1,'wgl tot'!H54),2)</f>
        <v>0</v>
      </c>
      <c r="Q54" s="497">
        <f>ROUND(IF(BE54="j",tabellen!$D$52*IF('wgl tot'!H54&gt;1,1,'wgl tot'!H54),0),2)</f>
        <v>0</v>
      </c>
      <c r="R54" s="497">
        <f>IF(AND(F54&gt;0,F54&lt;17),tabellen!$C$37*'wgl tot'!H54,0)</f>
        <v>0</v>
      </c>
      <c r="S54" s="497">
        <f>VLOOKUP(BD54,eindejaarsuitkering_OOP,2,TRUE)*'wgl tot'!H54/12</f>
        <v>0</v>
      </c>
      <c r="T54" s="497">
        <f>ROUND('wgl tot'!H54*tabellen!$D$50,2)</f>
        <v>0</v>
      </c>
      <c r="U54" s="498">
        <f t="shared" si="17"/>
        <v>0</v>
      </c>
      <c r="V54" s="497">
        <f>('wgl tot'!L54+'wgl tot'!P54)*tabellen!$C$39*12</f>
        <v>0</v>
      </c>
      <c r="W54" s="479">
        <f t="shared" si="10"/>
        <v>0</v>
      </c>
      <c r="X54" s="467"/>
      <c r="Y54" s="498">
        <f t="shared" si="26"/>
        <v>0</v>
      </c>
      <c r="Z54" s="674">
        <f>+'wgl tot'!V54/12</f>
        <v>0</v>
      </c>
      <c r="AA54" s="467"/>
      <c r="AB54" s="497">
        <f>IF(F54="",0,(IF('wgl tot'!U54/'wgl tot'!H54&lt;tabellen!$E$6,0,('wgl tot'!U54-tabellen!$E$6*'wgl tot'!H54)/12)*tabellen!$C$6))</f>
        <v>0</v>
      </c>
      <c r="AC54" s="497">
        <f>IF(F54="",0,(IF('wgl tot'!U54/'wgl tot'!H54&lt;tabellen!$E$7,0,(+'wgl tot'!U54-tabellen!$E$7*'wgl tot'!H54)/12)*tabellen!$C$7))</f>
        <v>0</v>
      </c>
      <c r="AD54" s="497">
        <f>'wgl tot'!U54/12*tabellen!$C$8</f>
        <v>0</v>
      </c>
      <c r="AE54" s="497">
        <f>IF(H54=0,0,IF(BJ54&gt;tabellen!$G$9/12,tabellen!$G$9/12,BJ54)*(tabellen!$C$9+tabellen!$C$10))</f>
        <v>0</v>
      </c>
      <c r="AF54" s="497">
        <f>IF(F54="",0,('wgl tot'!BK54))</f>
        <v>0</v>
      </c>
      <c r="AG54" s="499">
        <f>IF(F54="",0,(IF('wgl tot'!BJ54&gt;tabellen!$G$12*'wgl tot'!H54/12,tabellen!$G$12*'wgl tot'!H54/12,'wgl tot'!BJ54)*tabellen!$C$12))</f>
        <v>0</v>
      </c>
      <c r="AH54" s="467"/>
      <c r="AI54" s="499">
        <f>IF(F54="",0,('wgl tot'!BJ54*IF(J54=1,tabellen!$C$13,IF(J54=2,tabellen!$C$14,IF(J54=3,tabellen!$C$15,tabellen!$C$16)))))</f>
        <v>0</v>
      </c>
      <c r="AJ54" s="499">
        <f>IF(F54="",0,('wgl tot'!BJ54*tabellen!$C$17))</f>
        <v>0</v>
      </c>
      <c r="AK54" s="679">
        <v>0</v>
      </c>
      <c r="AL54" s="467"/>
      <c r="AM54" s="479">
        <f t="shared" si="18"/>
        <v>0</v>
      </c>
      <c r="AN54" s="479">
        <f t="shared" si="27"/>
        <v>0</v>
      </c>
      <c r="AO54" s="467"/>
      <c r="AP54" s="503" t="str">
        <f t="shared" si="19"/>
        <v/>
      </c>
      <c r="AQ54" s="503" t="str">
        <f t="shared" si="20"/>
        <v/>
      </c>
      <c r="AR54" s="467"/>
      <c r="AS54" s="444"/>
      <c r="AT54" s="436"/>
      <c r="AU54" s="436"/>
      <c r="AV54" s="481">
        <f ca="1">YEAR('wgl tot'!$AV$9)-YEAR('wgl tot'!E54)</f>
        <v>118</v>
      </c>
      <c r="AW54" s="481">
        <f ca="1">MONTH('wgl tot'!$AV$9)-MONTH('wgl tot'!E54)</f>
        <v>8</v>
      </c>
      <c r="AX54" s="481">
        <f ca="1">DAY('wgl tot'!$AV$9)-DAY('wgl tot'!E54)</f>
        <v>21</v>
      </c>
      <c r="AY54" s="445">
        <f>IF(AND('wgl tot'!F54&gt;0,'wgl tot'!F54&lt;17),0,100)</f>
        <v>100</v>
      </c>
      <c r="AZ54" s="445">
        <f t="shared" si="21"/>
        <v>0</v>
      </c>
      <c r="BA54" s="464">
        <v>42583</v>
      </c>
      <c r="BB54" s="482">
        <f t="shared" si="15"/>
        <v>0.08</v>
      </c>
      <c r="BC54" s="483">
        <f>+tabellen!$D$44</f>
        <v>6.3E-2</v>
      </c>
      <c r="BD54" s="481">
        <f>IF('wgl tot'!AY54=100,0,'wgl tot'!F54)</f>
        <v>0</v>
      </c>
      <c r="BE54" s="483" t="str">
        <f>IF(OR('wgl tot'!F54="DA",'wgl tot'!F54="DB",'wgl tot'!F54="DBuit",'wgl tot'!F54="DC",'wgl tot'!F54="DCuit",MID('wgl tot'!F54,1,5)="meerh"),"j","n")</f>
        <v>n</v>
      </c>
      <c r="BF54" s="485" t="e">
        <f>IF('wgl tot'!U54/'wgl tot'!H54&lt;tabellen!$E$6,0,(+'wgl tot'!U54-tabellen!$E$6*'wgl tot'!H54)/12*tabellen!$D$6)</f>
        <v>#DIV/0!</v>
      </c>
      <c r="BG54" s="485" t="e">
        <f>IF('wgl tot'!U54/'wgl tot'!H54&lt;tabellen!$E$7,0,(+'wgl tot'!U54-tabellen!$E$7*'wgl tot'!H54)/12*tabellen!$D$7)</f>
        <v>#DIV/0!</v>
      </c>
      <c r="BH54" s="485">
        <f>'wgl tot'!U54/12*tabellen!$D$8</f>
        <v>0</v>
      </c>
      <c r="BI54" s="486" t="e">
        <f t="shared" si="28"/>
        <v>#DIV/0!</v>
      </c>
      <c r="BJ54" s="487" t="e">
        <f>+(U54+V54)/12-'wgl tot'!BI54</f>
        <v>#DIV/0!</v>
      </c>
      <c r="BK54" s="487" t="e">
        <f>ROUND(IF('wgl tot'!BJ54&gt;tabellen!$H$11,tabellen!$H$11,'wgl tot'!BJ54)*tabellen!$C$11,2)</f>
        <v>#DIV/0!</v>
      </c>
      <c r="BL54" s="487" t="e">
        <f>+'wgl tot'!BJ54+'wgl tot'!BK54</f>
        <v>#DIV/0!</v>
      </c>
      <c r="BM54" s="488">
        <f t="shared" si="22"/>
        <v>1900</v>
      </c>
      <c r="BN54" s="488">
        <f t="shared" si="23"/>
        <v>1</v>
      </c>
      <c r="BO54" s="481">
        <f t="shared" si="24"/>
        <v>0</v>
      </c>
      <c r="BP54" s="464">
        <f t="shared" si="29"/>
        <v>22462</v>
      </c>
      <c r="BQ54" s="464">
        <f t="shared" ca="1" si="14"/>
        <v>43364.939215393519</v>
      </c>
      <c r="BR54" s="445"/>
      <c r="BS54" s="464"/>
      <c r="BT54" s="445"/>
      <c r="BU54" s="484"/>
      <c r="BV54" s="484"/>
      <c r="BW54" s="484"/>
      <c r="BX54" s="484"/>
      <c r="BY54" s="484"/>
      <c r="BZ54" s="484"/>
      <c r="CA54" s="436"/>
      <c r="CB54" s="436"/>
    </row>
    <row r="55" spans="1:80" s="447" customFormat="1" ht="12" customHeight="1" x14ac:dyDescent="0.2">
      <c r="A55" s="436"/>
      <c r="B55" s="437"/>
      <c r="C55" s="467"/>
      <c r="D55" s="473"/>
      <c r="E55" s="474"/>
      <c r="F55" s="475"/>
      <c r="G55" s="475"/>
      <c r="H55" s="476"/>
      <c r="I55" s="475"/>
      <c r="J55" s="477"/>
      <c r="K55" s="497">
        <f>IF(F55="",0,(VLOOKUP('wgl tot'!F55,saltab2019,'wgl tot'!G55+1,FALSE)))</f>
        <v>0</v>
      </c>
      <c r="L55" s="479">
        <f t="shared" si="25"/>
        <v>0</v>
      </c>
      <c r="M55" s="467"/>
      <c r="N55" s="497">
        <f>ROUND(IF(('wgl tot'!L55+'wgl tot'!P55)*BB55&lt;'wgl tot'!H55*tabellen!$D$43,'wgl tot'!H55*tabellen!$D$43,('wgl tot'!L55+'wgl tot'!P55)*BB55),2)</f>
        <v>0</v>
      </c>
      <c r="O55" s="497">
        <f>ROUND(+('wgl tot'!L55+'wgl tot'!P55)*BC55,2)</f>
        <v>0</v>
      </c>
      <c r="P55" s="497">
        <f>ROUND(IF(I55="j",VLOOKUP(AZ55,uitlooptoeslag,2,FALSE))*IF('wgl tot'!H55&gt;1,1,'wgl tot'!H55),2)</f>
        <v>0</v>
      </c>
      <c r="Q55" s="497">
        <f>ROUND(IF(BE55="j",tabellen!$D$52*IF('wgl tot'!H55&gt;1,1,'wgl tot'!H55),0),2)</f>
        <v>0</v>
      </c>
      <c r="R55" s="497">
        <f>IF(AND(F55&gt;0,F55&lt;17),tabellen!$C$37*'wgl tot'!H55,0)</f>
        <v>0</v>
      </c>
      <c r="S55" s="497">
        <f>VLOOKUP(BD55,eindejaarsuitkering_OOP,2,TRUE)*'wgl tot'!H55/12</f>
        <v>0</v>
      </c>
      <c r="T55" s="497">
        <f>ROUND('wgl tot'!H55*tabellen!$D$50,2)</f>
        <v>0</v>
      </c>
      <c r="U55" s="498">
        <f t="shared" si="17"/>
        <v>0</v>
      </c>
      <c r="V55" s="497">
        <f>('wgl tot'!L55+'wgl tot'!P55)*tabellen!$C$39*12</f>
        <v>0</v>
      </c>
      <c r="W55" s="479">
        <f t="shared" si="10"/>
        <v>0</v>
      </c>
      <c r="X55" s="467"/>
      <c r="Y55" s="498">
        <f t="shared" si="26"/>
        <v>0</v>
      </c>
      <c r="Z55" s="674">
        <f>+'wgl tot'!V55/12</f>
        <v>0</v>
      </c>
      <c r="AA55" s="467"/>
      <c r="AB55" s="497">
        <f>IF(F55="",0,(IF('wgl tot'!U55/'wgl tot'!H55&lt;tabellen!$E$6,0,('wgl tot'!U55-tabellen!$E$6*'wgl tot'!H55)/12)*tabellen!$C$6))</f>
        <v>0</v>
      </c>
      <c r="AC55" s="497">
        <f>IF(F55="",0,(IF('wgl tot'!U55/'wgl tot'!H55&lt;tabellen!$E$7,0,(+'wgl tot'!U55-tabellen!$E$7*'wgl tot'!H55)/12)*tabellen!$C$7))</f>
        <v>0</v>
      </c>
      <c r="AD55" s="497">
        <f>'wgl tot'!U55/12*tabellen!$C$8</f>
        <v>0</v>
      </c>
      <c r="AE55" s="497">
        <f>IF(H55=0,0,IF(BJ55&gt;tabellen!$G$9/12,tabellen!$G$9/12,BJ55)*(tabellen!$C$9+tabellen!$C$10))</f>
        <v>0</v>
      </c>
      <c r="AF55" s="497">
        <f>IF(F55="",0,('wgl tot'!BK55))</f>
        <v>0</v>
      </c>
      <c r="AG55" s="499">
        <f>IF(F55="",0,(IF('wgl tot'!BJ55&gt;tabellen!$G$12*'wgl tot'!H55/12,tabellen!$G$12*'wgl tot'!H55/12,'wgl tot'!BJ55)*tabellen!$C$12))</f>
        <v>0</v>
      </c>
      <c r="AH55" s="467"/>
      <c r="AI55" s="499">
        <f>IF(F55="",0,('wgl tot'!BJ55*IF(J55=1,tabellen!$C$13,IF(J55=2,tabellen!$C$14,IF(J55=3,tabellen!$C$15,tabellen!$C$16)))))</f>
        <v>0</v>
      </c>
      <c r="AJ55" s="499">
        <f>IF(F55="",0,('wgl tot'!BJ55*tabellen!$C$17))</f>
        <v>0</v>
      </c>
      <c r="AK55" s="679">
        <v>0</v>
      </c>
      <c r="AL55" s="467"/>
      <c r="AM55" s="479">
        <f t="shared" si="18"/>
        <v>0</v>
      </c>
      <c r="AN55" s="479">
        <f t="shared" si="27"/>
        <v>0</v>
      </c>
      <c r="AO55" s="467"/>
      <c r="AP55" s="503" t="str">
        <f t="shared" si="19"/>
        <v/>
      </c>
      <c r="AQ55" s="503" t="str">
        <f t="shared" si="20"/>
        <v/>
      </c>
      <c r="AR55" s="467"/>
      <c r="AS55" s="444"/>
      <c r="AT55" s="436"/>
      <c r="AU55" s="436"/>
      <c r="AV55" s="481">
        <f ca="1">YEAR('wgl tot'!$AV$9)-YEAR('wgl tot'!E55)</f>
        <v>118</v>
      </c>
      <c r="AW55" s="481">
        <f ca="1">MONTH('wgl tot'!$AV$9)-MONTH('wgl tot'!E55)</f>
        <v>8</v>
      </c>
      <c r="AX55" s="481">
        <f ca="1">DAY('wgl tot'!$AV$9)-DAY('wgl tot'!E55)</f>
        <v>21</v>
      </c>
      <c r="AY55" s="445">
        <f>IF(AND('wgl tot'!F55&gt;0,'wgl tot'!F55&lt;17),0,100)</f>
        <v>100</v>
      </c>
      <c r="AZ55" s="445">
        <f t="shared" si="21"/>
        <v>0</v>
      </c>
      <c r="BA55" s="464">
        <v>42583</v>
      </c>
      <c r="BB55" s="482">
        <f t="shared" si="15"/>
        <v>0.08</v>
      </c>
      <c r="BC55" s="483">
        <f>+tabellen!$D$44</f>
        <v>6.3E-2</v>
      </c>
      <c r="BD55" s="481">
        <f>IF('wgl tot'!AY55=100,0,'wgl tot'!F55)</f>
        <v>0</v>
      </c>
      <c r="BE55" s="483" t="str">
        <f>IF(OR('wgl tot'!F55="DA",'wgl tot'!F55="DB",'wgl tot'!F55="DBuit",'wgl tot'!F55="DC",'wgl tot'!F55="DCuit",MID('wgl tot'!F55,1,5)="meerh"),"j","n")</f>
        <v>n</v>
      </c>
      <c r="BF55" s="485" t="e">
        <f>IF('wgl tot'!U55/'wgl tot'!H55&lt;tabellen!$E$6,0,(+'wgl tot'!U55-tabellen!$E$6*'wgl tot'!H55)/12*tabellen!$D$6)</f>
        <v>#DIV/0!</v>
      </c>
      <c r="BG55" s="485" t="e">
        <f>IF('wgl tot'!U55/'wgl tot'!H55&lt;tabellen!$E$7,0,(+'wgl tot'!U55-tabellen!$E$7*'wgl tot'!H55)/12*tabellen!$D$7)</f>
        <v>#DIV/0!</v>
      </c>
      <c r="BH55" s="485">
        <f>'wgl tot'!U55/12*tabellen!$D$8</f>
        <v>0</v>
      </c>
      <c r="BI55" s="486" t="e">
        <f t="shared" si="28"/>
        <v>#DIV/0!</v>
      </c>
      <c r="BJ55" s="487" t="e">
        <f>+(U55+V55)/12-'wgl tot'!BI55</f>
        <v>#DIV/0!</v>
      </c>
      <c r="BK55" s="487" t="e">
        <f>ROUND(IF('wgl tot'!BJ55&gt;tabellen!$H$11,tabellen!$H$11,'wgl tot'!BJ55)*tabellen!$C$11,2)</f>
        <v>#DIV/0!</v>
      </c>
      <c r="BL55" s="487" t="e">
        <f>+'wgl tot'!BJ55+'wgl tot'!BK55</f>
        <v>#DIV/0!</v>
      </c>
      <c r="BM55" s="488">
        <f t="shared" si="22"/>
        <v>1900</v>
      </c>
      <c r="BN55" s="488">
        <f t="shared" si="23"/>
        <v>1</v>
      </c>
      <c r="BO55" s="481">
        <f t="shared" si="24"/>
        <v>0</v>
      </c>
      <c r="BP55" s="464">
        <f t="shared" si="29"/>
        <v>22462</v>
      </c>
      <c r="BQ55" s="464">
        <f t="shared" ca="1" si="14"/>
        <v>43364.939215393519</v>
      </c>
      <c r="BR55" s="445"/>
      <c r="BS55" s="464"/>
      <c r="BT55" s="445"/>
      <c r="BU55" s="484"/>
      <c r="BV55" s="484"/>
      <c r="BW55" s="484"/>
      <c r="BX55" s="484"/>
      <c r="BY55" s="484"/>
      <c r="BZ55" s="484"/>
      <c r="CA55" s="436"/>
      <c r="CB55" s="436"/>
    </row>
    <row r="56" spans="1:80" s="447" customFormat="1" ht="12" customHeight="1" x14ac:dyDescent="0.2">
      <c r="A56" s="436"/>
      <c r="B56" s="437"/>
      <c r="C56" s="467"/>
      <c r="D56" s="473"/>
      <c r="E56" s="474"/>
      <c r="F56" s="475"/>
      <c r="G56" s="475"/>
      <c r="H56" s="476"/>
      <c r="I56" s="475"/>
      <c r="J56" s="477"/>
      <c r="K56" s="497">
        <f>IF(F56="",0,(VLOOKUP('wgl tot'!F56,saltab2019,'wgl tot'!G56+1,FALSE)))</f>
        <v>0</v>
      </c>
      <c r="L56" s="479">
        <f t="shared" si="25"/>
        <v>0</v>
      </c>
      <c r="M56" s="467"/>
      <c r="N56" s="497">
        <f>ROUND(IF(('wgl tot'!L56+'wgl tot'!P56)*BB56&lt;'wgl tot'!H56*tabellen!$D$43,'wgl tot'!H56*tabellen!$D$43,('wgl tot'!L56+'wgl tot'!P56)*BB56),2)</f>
        <v>0</v>
      </c>
      <c r="O56" s="497">
        <f>ROUND(+('wgl tot'!L56+'wgl tot'!P56)*BC56,2)</f>
        <v>0</v>
      </c>
      <c r="P56" s="497">
        <f>ROUND(IF(I56="j",VLOOKUP(AZ56,uitlooptoeslag,2,FALSE))*IF('wgl tot'!H56&gt;1,1,'wgl tot'!H56),2)</f>
        <v>0</v>
      </c>
      <c r="Q56" s="497">
        <f>ROUND(IF(BE56="j",tabellen!$D$52*IF('wgl tot'!H56&gt;1,1,'wgl tot'!H56),0),2)</f>
        <v>0</v>
      </c>
      <c r="R56" s="497">
        <f>IF(AND(F56&gt;0,F56&lt;17),tabellen!$C$37*'wgl tot'!H56,0)</f>
        <v>0</v>
      </c>
      <c r="S56" s="497">
        <f>VLOOKUP(BD56,eindejaarsuitkering_OOP,2,TRUE)*'wgl tot'!H56/12</f>
        <v>0</v>
      </c>
      <c r="T56" s="497">
        <f>ROUND('wgl tot'!H56*tabellen!$D$50,2)</f>
        <v>0</v>
      </c>
      <c r="U56" s="498">
        <f t="shared" si="17"/>
        <v>0</v>
      </c>
      <c r="V56" s="497">
        <f>('wgl tot'!L56+'wgl tot'!P56)*tabellen!$C$39*12</f>
        <v>0</v>
      </c>
      <c r="W56" s="479">
        <f t="shared" si="10"/>
        <v>0</v>
      </c>
      <c r="X56" s="467"/>
      <c r="Y56" s="498">
        <f t="shared" si="26"/>
        <v>0</v>
      </c>
      <c r="Z56" s="674">
        <f>+'wgl tot'!V56/12</f>
        <v>0</v>
      </c>
      <c r="AA56" s="467"/>
      <c r="AB56" s="497">
        <f>IF(F56="",0,(IF('wgl tot'!U56/'wgl tot'!H56&lt;tabellen!$E$6,0,('wgl tot'!U56-tabellen!$E$6*'wgl tot'!H56)/12)*tabellen!$C$6))</f>
        <v>0</v>
      </c>
      <c r="AC56" s="497">
        <f>IF(F56="",0,(IF('wgl tot'!U56/'wgl tot'!H56&lt;tabellen!$E$7,0,(+'wgl tot'!U56-tabellen!$E$7*'wgl tot'!H56)/12)*tabellen!$C$7))</f>
        <v>0</v>
      </c>
      <c r="AD56" s="497">
        <f>'wgl tot'!U56/12*tabellen!$C$8</f>
        <v>0</v>
      </c>
      <c r="AE56" s="497">
        <f>IF(H56=0,0,IF(BJ56&gt;tabellen!$G$9/12,tabellen!$G$9/12,BJ56)*(tabellen!$C$9+tabellen!$C$10))</f>
        <v>0</v>
      </c>
      <c r="AF56" s="497">
        <f>IF(F56="",0,('wgl tot'!BK56))</f>
        <v>0</v>
      </c>
      <c r="AG56" s="499">
        <f>IF(F56="",0,(IF('wgl tot'!BJ56&gt;tabellen!$G$12*'wgl tot'!H56/12,tabellen!$G$12*'wgl tot'!H56/12,'wgl tot'!BJ56)*tabellen!$C$12))</f>
        <v>0</v>
      </c>
      <c r="AH56" s="467"/>
      <c r="AI56" s="499">
        <f>IF(F56="",0,('wgl tot'!BJ56*IF(J56=1,tabellen!$C$13,IF(J56=2,tabellen!$C$14,IF(J56=3,tabellen!$C$15,tabellen!$C$16)))))</f>
        <v>0</v>
      </c>
      <c r="AJ56" s="499">
        <f>IF(F56="",0,('wgl tot'!BJ56*tabellen!$C$17))</f>
        <v>0</v>
      </c>
      <c r="AK56" s="679">
        <v>0</v>
      </c>
      <c r="AL56" s="467"/>
      <c r="AM56" s="479">
        <f t="shared" si="18"/>
        <v>0</v>
      </c>
      <c r="AN56" s="479">
        <f t="shared" si="27"/>
        <v>0</v>
      </c>
      <c r="AO56" s="467"/>
      <c r="AP56" s="503" t="str">
        <f t="shared" si="19"/>
        <v/>
      </c>
      <c r="AQ56" s="503" t="str">
        <f t="shared" si="20"/>
        <v/>
      </c>
      <c r="AR56" s="467"/>
      <c r="AS56" s="444"/>
      <c r="AT56" s="436"/>
      <c r="AU56" s="436"/>
      <c r="AV56" s="481">
        <f ca="1">YEAR('wgl tot'!$AV$9)-YEAR('wgl tot'!E56)</f>
        <v>118</v>
      </c>
      <c r="AW56" s="481">
        <f ca="1">MONTH('wgl tot'!$AV$9)-MONTH('wgl tot'!E56)</f>
        <v>8</v>
      </c>
      <c r="AX56" s="481">
        <f ca="1">DAY('wgl tot'!$AV$9)-DAY('wgl tot'!E56)</f>
        <v>21</v>
      </c>
      <c r="AY56" s="445">
        <f>IF(AND('wgl tot'!F56&gt;0,'wgl tot'!F56&lt;17),0,100)</f>
        <v>100</v>
      </c>
      <c r="AZ56" s="445">
        <f t="shared" si="21"/>
        <v>0</v>
      </c>
      <c r="BA56" s="464">
        <v>42583</v>
      </c>
      <c r="BB56" s="482">
        <f t="shared" si="15"/>
        <v>0.08</v>
      </c>
      <c r="BC56" s="483">
        <f>+tabellen!$D$44</f>
        <v>6.3E-2</v>
      </c>
      <c r="BD56" s="481">
        <f>IF('wgl tot'!AY56=100,0,'wgl tot'!F56)</f>
        <v>0</v>
      </c>
      <c r="BE56" s="483" t="str">
        <f>IF(OR('wgl tot'!F56="DA",'wgl tot'!F56="DB",'wgl tot'!F56="DBuit",'wgl tot'!F56="DC",'wgl tot'!F56="DCuit",MID('wgl tot'!F56,1,5)="meerh"),"j","n")</f>
        <v>n</v>
      </c>
      <c r="BF56" s="485" t="e">
        <f>IF('wgl tot'!U56/'wgl tot'!H56&lt;tabellen!$E$6,0,(+'wgl tot'!U56-tabellen!$E$6*'wgl tot'!H56)/12*tabellen!$D$6)</f>
        <v>#DIV/0!</v>
      </c>
      <c r="BG56" s="485" t="e">
        <f>IF('wgl tot'!U56/'wgl tot'!H56&lt;tabellen!$E$7,0,(+'wgl tot'!U56-tabellen!$E$7*'wgl tot'!H56)/12*tabellen!$D$7)</f>
        <v>#DIV/0!</v>
      </c>
      <c r="BH56" s="485">
        <f>'wgl tot'!U56/12*tabellen!$D$8</f>
        <v>0</v>
      </c>
      <c r="BI56" s="486" t="e">
        <f t="shared" si="28"/>
        <v>#DIV/0!</v>
      </c>
      <c r="BJ56" s="487" t="e">
        <f>+(U56+V56)/12-'wgl tot'!BI56</f>
        <v>#DIV/0!</v>
      </c>
      <c r="BK56" s="487" t="e">
        <f>ROUND(IF('wgl tot'!BJ56&gt;tabellen!$H$11,tabellen!$H$11,'wgl tot'!BJ56)*tabellen!$C$11,2)</f>
        <v>#DIV/0!</v>
      </c>
      <c r="BL56" s="487" t="e">
        <f>+'wgl tot'!BJ56+'wgl tot'!BK56</f>
        <v>#DIV/0!</v>
      </c>
      <c r="BM56" s="488">
        <f t="shared" si="22"/>
        <v>1900</v>
      </c>
      <c r="BN56" s="488">
        <f t="shared" si="23"/>
        <v>1</v>
      </c>
      <c r="BO56" s="481">
        <f t="shared" si="24"/>
        <v>0</v>
      </c>
      <c r="BP56" s="464">
        <f t="shared" si="29"/>
        <v>22462</v>
      </c>
      <c r="BQ56" s="464">
        <f t="shared" ca="1" si="14"/>
        <v>43364.939215393519</v>
      </c>
      <c r="BR56" s="445"/>
      <c r="BS56" s="464"/>
      <c r="BT56" s="445"/>
      <c r="BU56" s="484"/>
      <c r="BV56" s="484"/>
      <c r="BW56" s="484"/>
      <c r="BX56" s="484"/>
      <c r="BY56" s="484"/>
      <c r="BZ56" s="484"/>
      <c r="CA56" s="436"/>
      <c r="CB56" s="436"/>
    </row>
    <row r="57" spans="1:80" s="447" customFormat="1" ht="12" customHeight="1" x14ac:dyDescent="0.2">
      <c r="A57" s="436"/>
      <c r="B57" s="437"/>
      <c r="C57" s="467"/>
      <c r="D57" s="473"/>
      <c r="E57" s="474"/>
      <c r="F57" s="475"/>
      <c r="G57" s="475"/>
      <c r="H57" s="476"/>
      <c r="I57" s="475"/>
      <c r="J57" s="477"/>
      <c r="K57" s="497">
        <f>IF(F57="",0,(VLOOKUP('wgl tot'!F57,saltab2019,'wgl tot'!G57+1,FALSE)))</f>
        <v>0</v>
      </c>
      <c r="L57" s="479">
        <f t="shared" si="25"/>
        <v>0</v>
      </c>
      <c r="M57" s="467"/>
      <c r="N57" s="497">
        <f>ROUND(IF(('wgl tot'!L57+'wgl tot'!P57)*BB57&lt;'wgl tot'!H57*tabellen!$D$43,'wgl tot'!H57*tabellen!$D$43,('wgl tot'!L57+'wgl tot'!P57)*BB57),2)</f>
        <v>0</v>
      </c>
      <c r="O57" s="497">
        <f>ROUND(+('wgl tot'!L57+'wgl tot'!P57)*BC57,2)</f>
        <v>0</v>
      </c>
      <c r="P57" s="497">
        <f>ROUND(IF(I57="j",VLOOKUP(AZ57,uitlooptoeslag,2,FALSE))*IF('wgl tot'!H57&gt;1,1,'wgl tot'!H57),2)</f>
        <v>0</v>
      </c>
      <c r="Q57" s="497">
        <f>ROUND(IF(BE57="j",tabellen!$D$52*IF('wgl tot'!H57&gt;1,1,'wgl tot'!H57),0),2)</f>
        <v>0</v>
      </c>
      <c r="R57" s="497">
        <f>IF(AND(F57&gt;0,F57&lt;17),tabellen!$C$37*'wgl tot'!H57,0)</f>
        <v>0</v>
      </c>
      <c r="S57" s="497">
        <f>VLOOKUP(BD57,eindejaarsuitkering_OOP,2,TRUE)*'wgl tot'!H57/12</f>
        <v>0</v>
      </c>
      <c r="T57" s="497">
        <f>ROUND('wgl tot'!H57*tabellen!$D$50,2)</f>
        <v>0</v>
      </c>
      <c r="U57" s="498">
        <f t="shared" si="17"/>
        <v>0</v>
      </c>
      <c r="V57" s="497">
        <f>('wgl tot'!L57+'wgl tot'!P57)*tabellen!$C$39*12</f>
        <v>0</v>
      </c>
      <c r="W57" s="479">
        <f t="shared" si="10"/>
        <v>0</v>
      </c>
      <c r="X57" s="467"/>
      <c r="Y57" s="498">
        <f t="shared" si="26"/>
        <v>0</v>
      </c>
      <c r="Z57" s="674">
        <f>+'wgl tot'!V57/12</f>
        <v>0</v>
      </c>
      <c r="AA57" s="467"/>
      <c r="AB57" s="497">
        <f>IF(F57="",0,(IF('wgl tot'!U57/'wgl tot'!H57&lt;tabellen!$E$6,0,('wgl tot'!U57-tabellen!$E$6*'wgl tot'!H57)/12)*tabellen!$C$6))</f>
        <v>0</v>
      </c>
      <c r="AC57" s="497">
        <f>IF(F57="",0,(IF('wgl tot'!U57/'wgl tot'!H57&lt;tabellen!$E$7,0,(+'wgl tot'!U57-tabellen!$E$7*'wgl tot'!H57)/12)*tabellen!$C$7))</f>
        <v>0</v>
      </c>
      <c r="AD57" s="497">
        <f>'wgl tot'!U57/12*tabellen!$C$8</f>
        <v>0</v>
      </c>
      <c r="AE57" s="497">
        <f>IF(H57=0,0,IF(BJ57&gt;tabellen!$G$9/12,tabellen!$G$9/12,BJ57)*(tabellen!$C$9+tabellen!$C$10))</f>
        <v>0</v>
      </c>
      <c r="AF57" s="497">
        <f>IF(F57="",0,('wgl tot'!BK57))</f>
        <v>0</v>
      </c>
      <c r="AG57" s="499">
        <f>IF(F57="",0,(IF('wgl tot'!BJ57&gt;tabellen!$G$12*'wgl tot'!H57/12,tabellen!$G$12*'wgl tot'!H57/12,'wgl tot'!BJ57)*tabellen!$C$12))</f>
        <v>0</v>
      </c>
      <c r="AH57" s="467"/>
      <c r="AI57" s="499">
        <f>IF(F57="",0,('wgl tot'!BJ57*IF(J57=1,tabellen!$C$13,IF(J57=2,tabellen!$C$14,IF(J57=3,tabellen!$C$15,tabellen!$C$16)))))</f>
        <v>0</v>
      </c>
      <c r="AJ57" s="499">
        <f>IF(F57="",0,('wgl tot'!BJ57*tabellen!$C$17))</f>
        <v>0</v>
      </c>
      <c r="AK57" s="679">
        <v>0</v>
      </c>
      <c r="AL57" s="467"/>
      <c r="AM57" s="479">
        <f t="shared" si="18"/>
        <v>0</v>
      </c>
      <c r="AN57" s="479">
        <f t="shared" si="27"/>
        <v>0</v>
      </c>
      <c r="AO57" s="467"/>
      <c r="AP57" s="503" t="str">
        <f t="shared" si="19"/>
        <v/>
      </c>
      <c r="AQ57" s="503" t="str">
        <f t="shared" si="20"/>
        <v/>
      </c>
      <c r="AR57" s="467"/>
      <c r="AS57" s="444"/>
      <c r="AT57" s="436"/>
      <c r="AU57" s="436"/>
      <c r="AV57" s="481">
        <f ca="1">YEAR('wgl tot'!$AV$9)-YEAR('wgl tot'!E57)</f>
        <v>118</v>
      </c>
      <c r="AW57" s="481">
        <f ca="1">MONTH('wgl tot'!$AV$9)-MONTH('wgl tot'!E57)</f>
        <v>8</v>
      </c>
      <c r="AX57" s="481">
        <f ca="1">DAY('wgl tot'!$AV$9)-DAY('wgl tot'!E57)</f>
        <v>21</v>
      </c>
      <c r="AY57" s="445">
        <f>IF(AND('wgl tot'!F57&gt;0,'wgl tot'!F57&lt;17),0,100)</f>
        <v>100</v>
      </c>
      <c r="AZ57" s="445">
        <f t="shared" si="21"/>
        <v>0</v>
      </c>
      <c r="BA57" s="464">
        <v>42583</v>
      </c>
      <c r="BB57" s="482">
        <f t="shared" si="15"/>
        <v>0.08</v>
      </c>
      <c r="BC57" s="483">
        <f>+tabellen!$D$44</f>
        <v>6.3E-2</v>
      </c>
      <c r="BD57" s="481">
        <f>IF('wgl tot'!AY57=100,0,'wgl tot'!F57)</f>
        <v>0</v>
      </c>
      <c r="BE57" s="483" t="str">
        <f>IF(OR('wgl tot'!F57="DA",'wgl tot'!F57="DB",'wgl tot'!F57="DBuit",'wgl tot'!F57="DC",'wgl tot'!F57="DCuit",MID('wgl tot'!F57,1,5)="meerh"),"j","n")</f>
        <v>n</v>
      </c>
      <c r="BF57" s="485" t="e">
        <f>IF('wgl tot'!U57/'wgl tot'!H57&lt;tabellen!$E$6,0,(+'wgl tot'!U57-tabellen!$E$6*'wgl tot'!H57)/12*tabellen!$D$6)</f>
        <v>#DIV/0!</v>
      </c>
      <c r="BG57" s="485" t="e">
        <f>IF('wgl tot'!U57/'wgl tot'!H57&lt;tabellen!$E$7,0,(+'wgl tot'!U57-tabellen!$E$7*'wgl tot'!H57)/12*tabellen!$D$7)</f>
        <v>#DIV/0!</v>
      </c>
      <c r="BH57" s="485">
        <f>'wgl tot'!U57/12*tabellen!$D$8</f>
        <v>0</v>
      </c>
      <c r="BI57" s="486" t="e">
        <f t="shared" si="28"/>
        <v>#DIV/0!</v>
      </c>
      <c r="BJ57" s="487" t="e">
        <f>+(U57+V57)/12-'wgl tot'!BI57</f>
        <v>#DIV/0!</v>
      </c>
      <c r="BK57" s="487" t="e">
        <f>ROUND(IF('wgl tot'!BJ57&gt;tabellen!$H$11,tabellen!$H$11,'wgl tot'!BJ57)*tabellen!$C$11,2)</f>
        <v>#DIV/0!</v>
      </c>
      <c r="BL57" s="487" t="e">
        <f>+'wgl tot'!BJ57+'wgl tot'!BK57</f>
        <v>#DIV/0!</v>
      </c>
      <c r="BM57" s="488">
        <f t="shared" si="22"/>
        <v>1900</v>
      </c>
      <c r="BN57" s="488">
        <f t="shared" si="23"/>
        <v>1</v>
      </c>
      <c r="BO57" s="481">
        <f t="shared" si="24"/>
        <v>0</v>
      </c>
      <c r="BP57" s="464">
        <f t="shared" si="29"/>
        <v>22462</v>
      </c>
      <c r="BQ57" s="464">
        <f t="shared" ca="1" si="14"/>
        <v>43364.939215393519</v>
      </c>
      <c r="BR57" s="445"/>
      <c r="BS57" s="464"/>
      <c r="BT57" s="445"/>
      <c r="BU57" s="484"/>
      <c r="BV57" s="484"/>
      <c r="BW57" s="484"/>
      <c r="BX57" s="484"/>
      <c r="BY57" s="484"/>
      <c r="BZ57" s="484"/>
      <c r="CA57" s="436"/>
      <c r="CB57" s="436"/>
    </row>
    <row r="58" spans="1:80" s="447" customFormat="1" ht="12" customHeight="1" x14ac:dyDescent="0.2">
      <c r="A58" s="436"/>
      <c r="B58" s="437"/>
      <c r="C58" s="467"/>
      <c r="D58" s="473"/>
      <c r="E58" s="474"/>
      <c r="F58" s="475"/>
      <c r="G58" s="475"/>
      <c r="H58" s="476"/>
      <c r="I58" s="475"/>
      <c r="J58" s="477"/>
      <c r="K58" s="497">
        <f>IF(F58="",0,(VLOOKUP('wgl tot'!F58,saltab2019,'wgl tot'!G58+1,FALSE)))</f>
        <v>0</v>
      </c>
      <c r="L58" s="479">
        <f t="shared" si="25"/>
        <v>0</v>
      </c>
      <c r="M58" s="467"/>
      <c r="N58" s="497">
        <f>ROUND(IF(('wgl tot'!L58+'wgl tot'!P58)*BB58&lt;'wgl tot'!H58*tabellen!$D$43,'wgl tot'!H58*tabellen!$D$43,('wgl tot'!L58+'wgl tot'!P58)*BB58),2)</f>
        <v>0</v>
      </c>
      <c r="O58" s="497">
        <f>ROUND(+('wgl tot'!L58+'wgl tot'!P58)*BC58,2)</f>
        <v>0</v>
      </c>
      <c r="P58" s="497">
        <f>ROUND(IF(I58="j",VLOOKUP(AZ58,uitlooptoeslag,2,FALSE))*IF('wgl tot'!H58&gt;1,1,'wgl tot'!H58),2)</f>
        <v>0</v>
      </c>
      <c r="Q58" s="497">
        <f>ROUND(IF(BE58="j",tabellen!$D$52*IF('wgl tot'!H58&gt;1,1,'wgl tot'!H58),0),2)</f>
        <v>0</v>
      </c>
      <c r="R58" s="497">
        <f>IF(AND(F58&gt;0,F58&lt;17),tabellen!$C$37*'wgl tot'!H58,0)</f>
        <v>0</v>
      </c>
      <c r="S58" s="497">
        <f>VLOOKUP(BD58,eindejaarsuitkering_OOP,2,TRUE)*'wgl tot'!H58/12</f>
        <v>0</v>
      </c>
      <c r="T58" s="497">
        <f>ROUND('wgl tot'!H58*tabellen!$D$50,2)</f>
        <v>0</v>
      </c>
      <c r="U58" s="498">
        <f t="shared" si="17"/>
        <v>0</v>
      </c>
      <c r="V58" s="497">
        <f>('wgl tot'!L58+'wgl tot'!P58)*tabellen!$C$39*12</f>
        <v>0</v>
      </c>
      <c r="W58" s="479">
        <f t="shared" si="10"/>
        <v>0</v>
      </c>
      <c r="X58" s="467"/>
      <c r="Y58" s="498">
        <f t="shared" si="26"/>
        <v>0</v>
      </c>
      <c r="Z58" s="674">
        <f>+'wgl tot'!V58/12</f>
        <v>0</v>
      </c>
      <c r="AA58" s="467"/>
      <c r="AB58" s="497">
        <f>IF(F58="",0,(IF('wgl tot'!U58/'wgl tot'!H58&lt;tabellen!$E$6,0,('wgl tot'!U58-tabellen!$E$6*'wgl tot'!H58)/12)*tabellen!$C$6))</f>
        <v>0</v>
      </c>
      <c r="AC58" s="497">
        <f>IF(F58="",0,(IF('wgl tot'!U58/'wgl tot'!H58&lt;tabellen!$E$7,0,(+'wgl tot'!U58-tabellen!$E$7*'wgl tot'!H58)/12)*tabellen!$C$7))</f>
        <v>0</v>
      </c>
      <c r="AD58" s="497">
        <f>'wgl tot'!U58/12*tabellen!$C$8</f>
        <v>0</v>
      </c>
      <c r="AE58" s="497">
        <f>IF(H58=0,0,IF(BJ58&gt;tabellen!$G$9/12,tabellen!$G$9/12,BJ58)*(tabellen!$C$9+tabellen!$C$10))</f>
        <v>0</v>
      </c>
      <c r="AF58" s="497">
        <f>IF(F58="",0,('wgl tot'!BK58))</f>
        <v>0</v>
      </c>
      <c r="AG58" s="499">
        <f>IF(F58="",0,(IF('wgl tot'!BJ58&gt;tabellen!$G$12*'wgl tot'!H58/12,tabellen!$G$12*'wgl tot'!H58/12,'wgl tot'!BJ58)*tabellen!$C$12))</f>
        <v>0</v>
      </c>
      <c r="AH58" s="467"/>
      <c r="AI58" s="499">
        <f>IF(F58="",0,('wgl tot'!BJ58*IF(J58=1,tabellen!$C$13,IF(J58=2,tabellen!$C$14,IF(J58=3,tabellen!$C$15,tabellen!$C$16)))))</f>
        <v>0</v>
      </c>
      <c r="AJ58" s="499">
        <f>IF(F58="",0,('wgl tot'!BJ58*tabellen!$C$17))</f>
        <v>0</v>
      </c>
      <c r="AK58" s="679">
        <v>0</v>
      </c>
      <c r="AL58" s="467"/>
      <c r="AM58" s="479">
        <f t="shared" si="18"/>
        <v>0</v>
      </c>
      <c r="AN58" s="479">
        <f t="shared" si="27"/>
        <v>0</v>
      </c>
      <c r="AO58" s="467"/>
      <c r="AP58" s="503" t="str">
        <f t="shared" si="19"/>
        <v/>
      </c>
      <c r="AQ58" s="503" t="str">
        <f t="shared" si="20"/>
        <v/>
      </c>
      <c r="AR58" s="467"/>
      <c r="AS58" s="444"/>
      <c r="AT58" s="436"/>
      <c r="AU58" s="436"/>
      <c r="AV58" s="481">
        <f ca="1">YEAR('wgl tot'!$AV$9)-YEAR('wgl tot'!E58)</f>
        <v>118</v>
      </c>
      <c r="AW58" s="481">
        <f ca="1">MONTH('wgl tot'!$AV$9)-MONTH('wgl tot'!E58)</f>
        <v>8</v>
      </c>
      <c r="AX58" s="481">
        <f ca="1">DAY('wgl tot'!$AV$9)-DAY('wgl tot'!E58)</f>
        <v>21</v>
      </c>
      <c r="AY58" s="445">
        <f>IF(AND('wgl tot'!F58&gt;0,'wgl tot'!F58&lt;17),0,100)</f>
        <v>100</v>
      </c>
      <c r="AZ58" s="445">
        <f t="shared" si="21"/>
        <v>0</v>
      </c>
      <c r="BA58" s="464">
        <v>42583</v>
      </c>
      <c r="BB58" s="482">
        <f t="shared" si="15"/>
        <v>0.08</v>
      </c>
      <c r="BC58" s="483">
        <f>+tabellen!$D$44</f>
        <v>6.3E-2</v>
      </c>
      <c r="BD58" s="481">
        <f>IF('wgl tot'!AY58=100,0,'wgl tot'!F58)</f>
        <v>0</v>
      </c>
      <c r="BE58" s="483" t="str">
        <f>IF(OR('wgl tot'!F58="DA",'wgl tot'!F58="DB",'wgl tot'!F58="DBuit",'wgl tot'!F58="DC",'wgl tot'!F58="DCuit",MID('wgl tot'!F58,1,5)="meerh"),"j","n")</f>
        <v>n</v>
      </c>
      <c r="BF58" s="485" t="e">
        <f>IF('wgl tot'!U58/'wgl tot'!H58&lt;tabellen!$E$6,0,(+'wgl tot'!U58-tabellen!$E$6*'wgl tot'!H58)/12*tabellen!$D$6)</f>
        <v>#DIV/0!</v>
      </c>
      <c r="BG58" s="485" t="e">
        <f>IF('wgl tot'!U58/'wgl tot'!H58&lt;tabellen!$E$7,0,(+'wgl tot'!U58-tabellen!$E$7*'wgl tot'!H58)/12*tabellen!$D$7)</f>
        <v>#DIV/0!</v>
      </c>
      <c r="BH58" s="485">
        <f>'wgl tot'!U58/12*tabellen!$D$8</f>
        <v>0</v>
      </c>
      <c r="BI58" s="486" t="e">
        <f t="shared" si="28"/>
        <v>#DIV/0!</v>
      </c>
      <c r="BJ58" s="487" t="e">
        <f>+(U58+V58)/12-'wgl tot'!BI58</f>
        <v>#DIV/0!</v>
      </c>
      <c r="BK58" s="487" t="e">
        <f>ROUND(IF('wgl tot'!BJ58&gt;tabellen!$H$11,tabellen!$H$11,'wgl tot'!BJ58)*tabellen!$C$11,2)</f>
        <v>#DIV/0!</v>
      </c>
      <c r="BL58" s="487" t="e">
        <f>+'wgl tot'!BJ58+'wgl tot'!BK58</f>
        <v>#DIV/0!</v>
      </c>
      <c r="BM58" s="488">
        <f t="shared" si="22"/>
        <v>1900</v>
      </c>
      <c r="BN58" s="488">
        <f t="shared" si="23"/>
        <v>1</v>
      </c>
      <c r="BO58" s="481">
        <f t="shared" si="24"/>
        <v>0</v>
      </c>
      <c r="BP58" s="464">
        <f t="shared" si="29"/>
        <v>22462</v>
      </c>
      <c r="BQ58" s="464">
        <f t="shared" ca="1" si="14"/>
        <v>43364.939215393519</v>
      </c>
      <c r="BR58" s="445"/>
      <c r="BS58" s="464"/>
      <c r="BT58" s="445"/>
      <c r="BU58" s="484"/>
      <c r="BV58" s="484"/>
      <c r="BW58" s="484"/>
      <c r="BX58" s="484"/>
      <c r="BY58" s="484"/>
      <c r="BZ58" s="484"/>
      <c r="CA58" s="436"/>
      <c r="CB58" s="436"/>
    </row>
    <row r="59" spans="1:80" s="447" customFormat="1" ht="12" customHeight="1" x14ac:dyDescent="0.2">
      <c r="A59" s="436"/>
      <c r="B59" s="437"/>
      <c r="C59" s="467"/>
      <c r="D59" s="473"/>
      <c r="E59" s="474"/>
      <c r="F59" s="475"/>
      <c r="G59" s="475"/>
      <c r="H59" s="476"/>
      <c r="I59" s="475"/>
      <c r="J59" s="477"/>
      <c r="K59" s="497">
        <f>IF(F59="",0,(VLOOKUP('wgl tot'!F59,saltab2019,'wgl tot'!G59+1,FALSE)))</f>
        <v>0</v>
      </c>
      <c r="L59" s="479">
        <f t="shared" si="25"/>
        <v>0</v>
      </c>
      <c r="M59" s="467"/>
      <c r="N59" s="497">
        <f>ROUND(IF(('wgl tot'!L59+'wgl tot'!P59)*BB59&lt;'wgl tot'!H59*tabellen!$D$43,'wgl tot'!H59*tabellen!$D$43,('wgl tot'!L59+'wgl tot'!P59)*BB59),2)</f>
        <v>0</v>
      </c>
      <c r="O59" s="497">
        <f>ROUND(+('wgl tot'!L59+'wgl tot'!P59)*BC59,2)</f>
        <v>0</v>
      </c>
      <c r="P59" s="497">
        <f>ROUND(IF(I59="j",VLOOKUP(AZ59,uitlooptoeslag,2,FALSE))*IF('wgl tot'!H59&gt;1,1,'wgl tot'!H59),2)</f>
        <v>0</v>
      </c>
      <c r="Q59" s="497">
        <f>ROUND(IF(BE59="j",tabellen!$D$52*IF('wgl tot'!H59&gt;1,1,'wgl tot'!H59),0),2)</f>
        <v>0</v>
      </c>
      <c r="R59" s="497">
        <f>IF(AND(F59&gt;0,F59&lt;17),tabellen!$C$37*'wgl tot'!H59,0)</f>
        <v>0</v>
      </c>
      <c r="S59" s="497">
        <f>VLOOKUP(BD59,eindejaarsuitkering_OOP,2,TRUE)*'wgl tot'!H59/12</f>
        <v>0</v>
      </c>
      <c r="T59" s="497">
        <f>ROUND('wgl tot'!H59*tabellen!$D$50,2)</f>
        <v>0</v>
      </c>
      <c r="U59" s="498">
        <f t="shared" si="17"/>
        <v>0</v>
      </c>
      <c r="V59" s="497">
        <f>('wgl tot'!L59+'wgl tot'!P59)*tabellen!$C$39*12</f>
        <v>0</v>
      </c>
      <c r="W59" s="479">
        <f t="shared" si="10"/>
        <v>0</v>
      </c>
      <c r="X59" s="467"/>
      <c r="Y59" s="498">
        <f t="shared" si="26"/>
        <v>0</v>
      </c>
      <c r="Z59" s="674">
        <f>+'wgl tot'!V59/12</f>
        <v>0</v>
      </c>
      <c r="AA59" s="467"/>
      <c r="AB59" s="497">
        <f>IF(F59="",0,(IF('wgl tot'!U59/'wgl tot'!H59&lt;tabellen!$E$6,0,('wgl tot'!U59-tabellen!$E$6*'wgl tot'!H59)/12)*tabellen!$C$6))</f>
        <v>0</v>
      </c>
      <c r="AC59" s="497">
        <f>IF(F59="",0,(IF('wgl tot'!U59/'wgl tot'!H59&lt;tabellen!$E$7,0,(+'wgl tot'!U59-tabellen!$E$7*'wgl tot'!H59)/12)*tabellen!$C$7))</f>
        <v>0</v>
      </c>
      <c r="AD59" s="497">
        <f>'wgl tot'!U59/12*tabellen!$C$8</f>
        <v>0</v>
      </c>
      <c r="AE59" s="497">
        <f>IF(H59=0,0,IF(BJ59&gt;tabellen!$G$9/12,tabellen!$G$9/12,BJ59)*(tabellen!$C$9+tabellen!$C$10))</f>
        <v>0</v>
      </c>
      <c r="AF59" s="497">
        <f>IF(F59="",0,('wgl tot'!BK59))</f>
        <v>0</v>
      </c>
      <c r="AG59" s="499">
        <f>IF(F59="",0,(IF('wgl tot'!BJ59&gt;tabellen!$G$12*'wgl tot'!H59/12,tabellen!$G$12*'wgl tot'!H59/12,'wgl tot'!BJ59)*tabellen!$C$12))</f>
        <v>0</v>
      </c>
      <c r="AH59" s="467"/>
      <c r="AI59" s="499">
        <f>IF(F59="",0,('wgl tot'!BJ59*IF(J59=1,tabellen!$C$13,IF(J59=2,tabellen!$C$14,IF(J59=3,tabellen!$C$15,tabellen!$C$16)))))</f>
        <v>0</v>
      </c>
      <c r="AJ59" s="499">
        <f>IF(F59="",0,('wgl tot'!BJ59*tabellen!$C$17))</f>
        <v>0</v>
      </c>
      <c r="AK59" s="679">
        <v>0</v>
      </c>
      <c r="AL59" s="467"/>
      <c r="AM59" s="479">
        <f t="shared" si="18"/>
        <v>0</v>
      </c>
      <c r="AN59" s="479">
        <f t="shared" si="27"/>
        <v>0</v>
      </c>
      <c r="AO59" s="467"/>
      <c r="AP59" s="503" t="str">
        <f t="shared" si="19"/>
        <v/>
      </c>
      <c r="AQ59" s="503" t="str">
        <f t="shared" si="20"/>
        <v/>
      </c>
      <c r="AR59" s="467"/>
      <c r="AS59" s="444"/>
      <c r="AT59" s="436"/>
      <c r="AU59" s="436"/>
      <c r="AV59" s="481">
        <f ca="1">YEAR('wgl tot'!$AV$9)-YEAR('wgl tot'!E59)</f>
        <v>118</v>
      </c>
      <c r="AW59" s="481">
        <f ca="1">MONTH('wgl tot'!$AV$9)-MONTH('wgl tot'!E59)</f>
        <v>8</v>
      </c>
      <c r="AX59" s="481">
        <f ca="1">DAY('wgl tot'!$AV$9)-DAY('wgl tot'!E59)</f>
        <v>21</v>
      </c>
      <c r="AY59" s="445">
        <f>IF(AND('wgl tot'!F59&gt;0,'wgl tot'!F59&lt;17),0,100)</f>
        <v>100</v>
      </c>
      <c r="AZ59" s="445">
        <f t="shared" si="21"/>
        <v>0</v>
      </c>
      <c r="BA59" s="464">
        <v>42583</v>
      </c>
      <c r="BB59" s="482">
        <f t="shared" si="15"/>
        <v>0.08</v>
      </c>
      <c r="BC59" s="483">
        <f>+tabellen!$D$44</f>
        <v>6.3E-2</v>
      </c>
      <c r="BD59" s="481">
        <f>IF('wgl tot'!AY59=100,0,'wgl tot'!F59)</f>
        <v>0</v>
      </c>
      <c r="BE59" s="483" t="str">
        <f>IF(OR('wgl tot'!F59="DA",'wgl tot'!F59="DB",'wgl tot'!F59="DBuit",'wgl tot'!F59="DC",'wgl tot'!F59="DCuit",MID('wgl tot'!F59,1,5)="meerh"),"j","n")</f>
        <v>n</v>
      </c>
      <c r="BF59" s="485" t="e">
        <f>IF('wgl tot'!U59/'wgl tot'!H59&lt;tabellen!$E$6,0,(+'wgl tot'!U59-tabellen!$E$6*'wgl tot'!H59)/12*tabellen!$D$6)</f>
        <v>#DIV/0!</v>
      </c>
      <c r="BG59" s="485" t="e">
        <f>IF('wgl tot'!U59/'wgl tot'!H59&lt;tabellen!$E$7,0,(+'wgl tot'!U59-tabellen!$E$7*'wgl tot'!H59)/12*tabellen!$D$7)</f>
        <v>#DIV/0!</v>
      </c>
      <c r="BH59" s="485">
        <f>'wgl tot'!U59/12*tabellen!$D$8</f>
        <v>0</v>
      </c>
      <c r="BI59" s="486" t="e">
        <f t="shared" si="28"/>
        <v>#DIV/0!</v>
      </c>
      <c r="BJ59" s="487" t="e">
        <f>+(U59+V59)/12-'wgl tot'!BI59</f>
        <v>#DIV/0!</v>
      </c>
      <c r="BK59" s="487" t="e">
        <f>ROUND(IF('wgl tot'!BJ59&gt;tabellen!$H$11,tabellen!$H$11,'wgl tot'!BJ59)*tabellen!$C$11,2)</f>
        <v>#DIV/0!</v>
      </c>
      <c r="BL59" s="487" t="e">
        <f>+'wgl tot'!BJ59+'wgl tot'!BK59</f>
        <v>#DIV/0!</v>
      </c>
      <c r="BM59" s="488">
        <f t="shared" si="22"/>
        <v>1900</v>
      </c>
      <c r="BN59" s="488">
        <f t="shared" si="23"/>
        <v>1</v>
      </c>
      <c r="BO59" s="481">
        <f t="shared" si="24"/>
        <v>0</v>
      </c>
      <c r="BP59" s="464">
        <f t="shared" si="29"/>
        <v>22462</v>
      </c>
      <c r="BQ59" s="464">
        <f t="shared" ca="1" si="14"/>
        <v>43364.939215393519</v>
      </c>
      <c r="BR59" s="445"/>
      <c r="BS59" s="464"/>
      <c r="BT59" s="445"/>
      <c r="BU59" s="484"/>
      <c r="BV59" s="484"/>
      <c r="BW59" s="484"/>
      <c r="BX59" s="484"/>
      <c r="BY59" s="484"/>
      <c r="BZ59" s="484"/>
      <c r="CA59" s="436"/>
      <c r="CB59" s="436"/>
    </row>
    <row r="60" spans="1:80" s="447" customFormat="1" ht="12" customHeight="1" x14ac:dyDescent="0.2">
      <c r="A60" s="436"/>
      <c r="B60" s="437"/>
      <c r="C60" s="467"/>
      <c r="D60" s="473"/>
      <c r="E60" s="474"/>
      <c r="F60" s="475"/>
      <c r="G60" s="475"/>
      <c r="H60" s="476"/>
      <c r="I60" s="475"/>
      <c r="J60" s="477"/>
      <c r="K60" s="497">
        <f>IF(F60="",0,(VLOOKUP('wgl tot'!F60,saltab2019,'wgl tot'!G60+1,FALSE)))</f>
        <v>0</v>
      </c>
      <c r="L60" s="479">
        <f t="shared" si="25"/>
        <v>0</v>
      </c>
      <c r="M60" s="467"/>
      <c r="N60" s="497">
        <f>ROUND(IF(('wgl tot'!L60+'wgl tot'!P60)*BB60&lt;'wgl tot'!H60*tabellen!$D$43,'wgl tot'!H60*tabellen!$D$43,('wgl tot'!L60+'wgl tot'!P60)*BB60),2)</f>
        <v>0</v>
      </c>
      <c r="O60" s="497">
        <f>ROUND(+('wgl tot'!L60+'wgl tot'!P60)*BC60,2)</f>
        <v>0</v>
      </c>
      <c r="P60" s="497">
        <f>ROUND(IF(I60="j",VLOOKUP(AZ60,uitlooptoeslag,2,FALSE))*IF('wgl tot'!H60&gt;1,1,'wgl tot'!H60),2)</f>
        <v>0</v>
      </c>
      <c r="Q60" s="497">
        <f>ROUND(IF(BE60="j",tabellen!$D$52*IF('wgl tot'!H60&gt;1,1,'wgl tot'!H60),0),2)</f>
        <v>0</v>
      </c>
      <c r="R60" s="497">
        <f>IF(AND(F60&gt;0,F60&lt;17),tabellen!$C$37*'wgl tot'!H60,0)</f>
        <v>0</v>
      </c>
      <c r="S60" s="497">
        <f>VLOOKUP(BD60,eindejaarsuitkering_OOP,2,TRUE)*'wgl tot'!H60/12</f>
        <v>0</v>
      </c>
      <c r="T60" s="497">
        <f>ROUND('wgl tot'!H60*tabellen!$D$50,2)</f>
        <v>0</v>
      </c>
      <c r="U60" s="498">
        <f t="shared" si="17"/>
        <v>0</v>
      </c>
      <c r="V60" s="497">
        <f>('wgl tot'!L60+'wgl tot'!P60)*tabellen!$C$39*12</f>
        <v>0</v>
      </c>
      <c r="W60" s="479">
        <f t="shared" si="10"/>
        <v>0</v>
      </c>
      <c r="X60" s="467"/>
      <c r="Y60" s="498">
        <f t="shared" si="26"/>
        <v>0</v>
      </c>
      <c r="Z60" s="674">
        <f>+'wgl tot'!V60/12</f>
        <v>0</v>
      </c>
      <c r="AA60" s="467"/>
      <c r="AB60" s="497">
        <f>IF(F60="",0,(IF('wgl tot'!U60/'wgl tot'!H60&lt;tabellen!$E$6,0,('wgl tot'!U60-tabellen!$E$6*'wgl tot'!H60)/12)*tabellen!$C$6))</f>
        <v>0</v>
      </c>
      <c r="AC60" s="497">
        <f>IF(F60="",0,(IF('wgl tot'!U60/'wgl tot'!H60&lt;tabellen!$E$7,0,(+'wgl tot'!U60-tabellen!$E$7*'wgl tot'!H60)/12)*tabellen!$C$7))</f>
        <v>0</v>
      </c>
      <c r="AD60" s="497">
        <f>'wgl tot'!U60/12*tabellen!$C$8</f>
        <v>0</v>
      </c>
      <c r="AE60" s="497">
        <f>IF(H60=0,0,IF(BJ60&gt;tabellen!$G$9/12,tabellen!$G$9/12,BJ60)*(tabellen!$C$9+tabellen!$C$10))</f>
        <v>0</v>
      </c>
      <c r="AF60" s="497">
        <f>IF(F60="",0,('wgl tot'!BK60))</f>
        <v>0</v>
      </c>
      <c r="AG60" s="499">
        <f>IF(F60="",0,(IF('wgl tot'!BJ60&gt;tabellen!$G$12*'wgl tot'!H60/12,tabellen!$G$12*'wgl tot'!H60/12,'wgl tot'!BJ60)*tabellen!$C$12))</f>
        <v>0</v>
      </c>
      <c r="AH60" s="467"/>
      <c r="AI60" s="499">
        <f>IF(F60="",0,('wgl tot'!BJ60*IF(J60=1,tabellen!$C$13,IF(J60=2,tabellen!$C$14,IF(J60=3,tabellen!$C$15,tabellen!$C$16)))))</f>
        <v>0</v>
      </c>
      <c r="AJ60" s="499">
        <f>IF(F60="",0,('wgl tot'!BJ60*tabellen!$C$17))</f>
        <v>0</v>
      </c>
      <c r="AK60" s="679">
        <v>0</v>
      </c>
      <c r="AL60" s="467"/>
      <c r="AM60" s="479">
        <f t="shared" si="18"/>
        <v>0</v>
      </c>
      <c r="AN60" s="479">
        <f t="shared" si="27"/>
        <v>0</v>
      </c>
      <c r="AO60" s="467"/>
      <c r="AP60" s="503" t="str">
        <f t="shared" si="19"/>
        <v/>
      </c>
      <c r="AQ60" s="503" t="str">
        <f t="shared" si="20"/>
        <v/>
      </c>
      <c r="AR60" s="467"/>
      <c r="AS60" s="444"/>
      <c r="AT60" s="436"/>
      <c r="AU60" s="436"/>
      <c r="AV60" s="481">
        <f ca="1">YEAR('wgl tot'!$AV$9)-YEAR('wgl tot'!E60)</f>
        <v>118</v>
      </c>
      <c r="AW60" s="481">
        <f ca="1">MONTH('wgl tot'!$AV$9)-MONTH('wgl tot'!E60)</f>
        <v>8</v>
      </c>
      <c r="AX60" s="481">
        <f ca="1">DAY('wgl tot'!$AV$9)-DAY('wgl tot'!E60)</f>
        <v>21</v>
      </c>
      <c r="AY60" s="445">
        <f>IF(AND('wgl tot'!F60&gt;0,'wgl tot'!F60&lt;17),0,100)</f>
        <v>100</v>
      </c>
      <c r="AZ60" s="445">
        <f t="shared" si="21"/>
        <v>0</v>
      </c>
      <c r="BA60" s="464">
        <v>42583</v>
      </c>
      <c r="BB60" s="482">
        <f t="shared" si="15"/>
        <v>0.08</v>
      </c>
      <c r="BC60" s="483">
        <f>+tabellen!$D$44</f>
        <v>6.3E-2</v>
      </c>
      <c r="BD60" s="481">
        <f>IF('wgl tot'!AY60=100,0,'wgl tot'!F60)</f>
        <v>0</v>
      </c>
      <c r="BE60" s="483" t="str">
        <f>IF(OR('wgl tot'!F60="DA",'wgl tot'!F60="DB",'wgl tot'!F60="DBuit",'wgl tot'!F60="DC",'wgl tot'!F60="DCuit",MID('wgl tot'!F60,1,5)="meerh"),"j","n")</f>
        <v>n</v>
      </c>
      <c r="BF60" s="485" t="e">
        <f>IF('wgl tot'!U60/'wgl tot'!H60&lt;tabellen!$E$6,0,(+'wgl tot'!U60-tabellen!$E$6*'wgl tot'!H60)/12*tabellen!$D$6)</f>
        <v>#DIV/0!</v>
      </c>
      <c r="BG60" s="485" t="e">
        <f>IF('wgl tot'!U60/'wgl tot'!H60&lt;tabellen!$E$7,0,(+'wgl tot'!U60-tabellen!$E$7*'wgl tot'!H60)/12*tabellen!$D$7)</f>
        <v>#DIV/0!</v>
      </c>
      <c r="BH60" s="485">
        <f>'wgl tot'!U60/12*tabellen!$D$8</f>
        <v>0</v>
      </c>
      <c r="BI60" s="486" t="e">
        <f t="shared" si="28"/>
        <v>#DIV/0!</v>
      </c>
      <c r="BJ60" s="487" t="e">
        <f>+(U60+V60)/12-'wgl tot'!BI60</f>
        <v>#DIV/0!</v>
      </c>
      <c r="BK60" s="487" t="e">
        <f>ROUND(IF('wgl tot'!BJ60&gt;tabellen!$H$11,tabellen!$H$11,'wgl tot'!BJ60)*tabellen!$C$11,2)</f>
        <v>#DIV/0!</v>
      </c>
      <c r="BL60" s="487" t="e">
        <f>+'wgl tot'!BJ60+'wgl tot'!BK60</f>
        <v>#DIV/0!</v>
      </c>
      <c r="BM60" s="488">
        <f t="shared" si="22"/>
        <v>1900</v>
      </c>
      <c r="BN60" s="488">
        <f t="shared" si="23"/>
        <v>1</v>
      </c>
      <c r="BO60" s="481">
        <f t="shared" si="24"/>
        <v>0</v>
      </c>
      <c r="BP60" s="464">
        <f t="shared" si="29"/>
        <v>22462</v>
      </c>
      <c r="BQ60" s="464">
        <f t="shared" ca="1" si="14"/>
        <v>43364.939215393519</v>
      </c>
      <c r="BR60" s="445"/>
      <c r="BS60" s="464"/>
      <c r="BT60" s="445"/>
      <c r="BU60" s="484"/>
      <c r="BV60" s="484"/>
      <c r="BW60" s="484"/>
      <c r="BX60" s="484"/>
      <c r="BY60" s="484"/>
      <c r="BZ60" s="484"/>
      <c r="CA60" s="436"/>
      <c r="CB60" s="436"/>
    </row>
    <row r="61" spans="1:80" s="447" customFormat="1" ht="12" customHeight="1" x14ac:dyDescent="0.2">
      <c r="A61" s="436"/>
      <c r="B61" s="437"/>
      <c r="C61" s="467"/>
      <c r="D61" s="473"/>
      <c r="E61" s="474"/>
      <c r="F61" s="475"/>
      <c r="G61" s="475"/>
      <c r="H61" s="476"/>
      <c r="I61" s="475"/>
      <c r="J61" s="477"/>
      <c r="K61" s="497">
        <f>IF(F61="",0,(VLOOKUP('wgl tot'!F61,saltab2019,'wgl tot'!G61+1,FALSE)))</f>
        <v>0</v>
      </c>
      <c r="L61" s="479">
        <f t="shared" si="25"/>
        <v>0</v>
      </c>
      <c r="M61" s="467"/>
      <c r="N61" s="497">
        <f>ROUND(IF(('wgl tot'!L61+'wgl tot'!P61)*BB61&lt;'wgl tot'!H61*tabellen!$D$43,'wgl tot'!H61*tabellen!$D$43,('wgl tot'!L61+'wgl tot'!P61)*BB61),2)</f>
        <v>0</v>
      </c>
      <c r="O61" s="497">
        <f>ROUND(+('wgl tot'!L61+'wgl tot'!P61)*BC61,2)</f>
        <v>0</v>
      </c>
      <c r="P61" s="497">
        <f>ROUND(IF(I61="j",VLOOKUP(AZ61,uitlooptoeslag,2,FALSE))*IF('wgl tot'!H61&gt;1,1,'wgl tot'!H61),2)</f>
        <v>0</v>
      </c>
      <c r="Q61" s="497">
        <f>ROUND(IF(BE61="j",tabellen!$D$52*IF('wgl tot'!H61&gt;1,1,'wgl tot'!H61),0),2)</f>
        <v>0</v>
      </c>
      <c r="R61" s="497">
        <f>IF(AND(F61&gt;0,F61&lt;17),tabellen!$C$37*'wgl tot'!H61,0)</f>
        <v>0</v>
      </c>
      <c r="S61" s="497">
        <f>VLOOKUP(BD61,eindejaarsuitkering_OOP,2,TRUE)*'wgl tot'!H61/12</f>
        <v>0</v>
      </c>
      <c r="T61" s="497">
        <f>ROUND('wgl tot'!H61*tabellen!$D$50,2)</f>
        <v>0</v>
      </c>
      <c r="U61" s="498">
        <f t="shared" si="17"/>
        <v>0</v>
      </c>
      <c r="V61" s="497">
        <f>('wgl tot'!L61+'wgl tot'!P61)*tabellen!$C$39*12</f>
        <v>0</v>
      </c>
      <c r="W61" s="479">
        <f t="shared" si="10"/>
        <v>0</v>
      </c>
      <c r="X61" s="467"/>
      <c r="Y61" s="498">
        <f t="shared" si="26"/>
        <v>0</v>
      </c>
      <c r="Z61" s="674">
        <f>+'wgl tot'!V61/12</f>
        <v>0</v>
      </c>
      <c r="AA61" s="467"/>
      <c r="AB61" s="497">
        <f>IF(F61="",0,(IF('wgl tot'!U61/'wgl tot'!H61&lt;tabellen!$E$6,0,('wgl tot'!U61-tabellen!$E$6*'wgl tot'!H61)/12)*tabellen!$C$6))</f>
        <v>0</v>
      </c>
      <c r="AC61" s="497">
        <f>IF(F61="",0,(IF('wgl tot'!U61/'wgl tot'!H61&lt;tabellen!$E$7,0,(+'wgl tot'!U61-tabellen!$E$7*'wgl tot'!H61)/12)*tabellen!$C$7))</f>
        <v>0</v>
      </c>
      <c r="AD61" s="497">
        <f>'wgl tot'!U61/12*tabellen!$C$8</f>
        <v>0</v>
      </c>
      <c r="AE61" s="497">
        <f>IF(H61=0,0,IF(BJ61&gt;tabellen!$G$9/12,tabellen!$G$9/12,BJ61)*(tabellen!$C$9+tabellen!$C$10))</f>
        <v>0</v>
      </c>
      <c r="AF61" s="497">
        <f>IF(F61="",0,('wgl tot'!BK61))</f>
        <v>0</v>
      </c>
      <c r="AG61" s="499">
        <f>IF(F61="",0,(IF('wgl tot'!BJ61&gt;tabellen!$G$12*'wgl tot'!H61/12,tabellen!$G$12*'wgl tot'!H61/12,'wgl tot'!BJ61)*tabellen!$C$12))</f>
        <v>0</v>
      </c>
      <c r="AH61" s="467"/>
      <c r="AI61" s="499">
        <f>IF(F61="",0,('wgl tot'!BJ61*IF(J61=1,tabellen!$C$13,IF(J61=2,tabellen!$C$14,IF(J61=3,tabellen!$C$15,tabellen!$C$16)))))</f>
        <v>0</v>
      </c>
      <c r="AJ61" s="499">
        <f>IF(F61="",0,('wgl tot'!BJ61*tabellen!$C$17))</f>
        <v>0</v>
      </c>
      <c r="AK61" s="679">
        <v>0</v>
      </c>
      <c r="AL61" s="467"/>
      <c r="AM61" s="479">
        <f t="shared" si="18"/>
        <v>0</v>
      </c>
      <c r="AN61" s="479">
        <f t="shared" si="27"/>
        <v>0</v>
      </c>
      <c r="AO61" s="467"/>
      <c r="AP61" s="503" t="str">
        <f t="shared" si="19"/>
        <v/>
      </c>
      <c r="AQ61" s="503" t="str">
        <f t="shared" si="20"/>
        <v/>
      </c>
      <c r="AR61" s="467"/>
      <c r="AS61" s="444"/>
      <c r="AT61" s="436"/>
      <c r="AU61" s="436"/>
      <c r="AV61" s="481">
        <f ca="1">YEAR('wgl tot'!$AV$9)-YEAR('wgl tot'!E61)</f>
        <v>118</v>
      </c>
      <c r="AW61" s="481">
        <f ca="1">MONTH('wgl tot'!$AV$9)-MONTH('wgl tot'!E61)</f>
        <v>8</v>
      </c>
      <c r="AX61" s="481">
        <f ca="1">DAY('wgl tot'!$AV$9)-DAY('wgl tot'!E61)</f>
        <v>21</v>
      </c>
      <c r="AY61" s="445">
        <f>IF(AND('wgl tot'!F61&gt;0,'wgl tot'!F61&lt;17),0,100)</f>
        <v>100</v>
      </c>
      <c r="AZ61" s="445">
        <f t="shared" si="21"/>
        <v>0</v>
      </c>
      <c r="BA61" s="464">
        <v>42583</v>
      </c>
      <c r="BB61" s="482">
        <f t="shared" si="15"/>
        <v>0.08</v>
      </c>
      <c r="BC61" s="483">
        <f>+tabellen!$D$44</f>
        <v>6.3E-2</v>
      </c>
      <c r="BD61" s="481">
        <f>IF('wgl tot'!AY61=100,0,'wgl tot'!F61)</f>
        <v>0</v>
      </c>
      <c r="BE61" s="483" t="str">
        <f>IF(OR('wgl tot'!F61="DA",'wgl tot'!F61="DB",'wgl tot'!F61="DBuit",'wgl tot'!F61="DC",'wgl tot'!F61="DCuit",MID('wgl tot'!F61,1,5)="meerh"),"j","n")</f>
        <v>n</v>
      </c>
      <c r="BF61" s="485" t="e">
        <f>IF('wgl tot'!U61/'wgl tot'!H61&lt;tabellen!$E$6,0,(+'wgl tot'!U61-tabellen!$E$6*'wgl tot'!H61)/12*tabellen!$D$6)</f>
        <v>#DIV/0!</v>
      </c>
      <c r="BG61" s="485" t="e">
        <f>IF('wgl tot'!U61/'wgl tot'!H61&lt;tabellen!$E$7,0,(+'wgl tot'!U61-tabellen!$E$7*'wgl tot'!H61)/12*tabellen!$D$7)</f>
        <v>#DIV/0!</v>
      </c>
      <c r="BH61" s="485">
        <f>'wgl tot'!U61/12*tabellen!$D$8</f>
        <v>0</v>
      </c>
      <c r="BI61" s="486" t="e">
        <f t="shared" si="28"/>
        <v>#DIV/0!</v>
      </c>
      <c r="BJ61" s="487" t="e">
        <f>+(U61+V61)/12-'wgl tot'!BI61</f>
        <v>#DIV/0!</v>
      </c>
      <c r="BK61" s="487" t="e">
        <f>ROUND(IF('wgl tot'!BJ61&gt;tabellen!$H$11,tabellen!$H$11,'wgl tot'!BJ61)*tabellen!$C$11,2)</f>
        <v>#DIV/0!</v>
      </c>
      <c r="BL61" s="487" t="e">
        <f>+'wgl tot'!BJ61+'wgl tot'!BK61</f>
        <v>#DIV/0!</v>
      </c>
      <c r="BM61" s="488">
        <f t="shared" si="22"/>
        <v>1900</v>
      </c>
      <c r="BN61" s="488">
        <f t="shared" si="23"/>
        <v>1</v>
      </c>
      <c r="BO61" s="481">
        <f t="shared" si="24"/>
        <v>0</v>
      </c>
      <c r="BP61" s="464">
        <f t="shared" si="29"/>
        <v>22462</v>
      </c>
      <c r="BQ61" s="464">
        <f t="shared" ca="1" si="14"/>
        <v>43364.939215393519</v>
      </c>
      <c r="BR61" s="445"/>
      <c r="BS61" s="464"/>
      <c r="BT61" s="445"/>
      <c r="BU61" s="484"/>
      <c r="BV61" s="484"/>
      <c r="BW61" s="484"/>
      <c r="BX61" s="484"/>
      <c r="BY61" s="484"/>
      <c r="BZ61" s="484"/>
      <c r="CA61" s="436"/>
      <c r="CB61" s="436"/>
    </row>
    <row r="62" spans="1:80" s="447" customFormat="1" ht="12" customHeight="1" x14ac:dyDescent="0.2">
      <c r="A62" s="436"/>
      <c r="B62" s="437"/>
      <c r="C62" s="467"/>
      <c r="D62" s="473"/>
      <c r="E62" s="474"/>
      <c r="F62" s="475"/>
      <c r="G62" s="475"/>
      <c r="H62" s="476"/>
      <c r="I62" s="475"/>
      <c r="J62" s="477"/>
      <c r="K62" s="497">
        <f>IF(F62="",0,(VLOOKUP('wgl tot'!F62,saltab2019,'wgl tot'!G62+1,FALSE)))</f>
        <v>0</v>
      </c>
      <c r="L62" s="479">
        <f t="shared" si="25"/>
        <v>0</v>
      </c>
      <c r="M62" s="467"/>
      <c r="N62" s="497">
        <f>ROUND(IF(('wgl tot'!L62+'wgl tot'!P62)*BB62&lt;'wgl tot'!H62*tabellen!$D$43,'wgl tot'!H62*tabellen!$D$43,('wgl tot'!L62+'wgl tot'!P62)*BB62),2)</f>
        <v>0</v>
      </c>
      <c r="O62" s="497">
        <f>ROUND(+('wgl tot'!L62+'wgl tot'!P62)*BC62,2)</f>
        <v>0</v>
      </c>
      <c r="P62" s="497">
        <f>ROUND(IF(I62="j",VLOOKUP(AZ62,uitlooptoeslag,2,FALSE))*IF('wgl tot'!H62&gt;1,1,'wgl tot'!H62),2)</f>
        <v>0</v>
      </c>
      <c r="Q62" s="497">
        <f>ROUND(IF(BE62="j",tabellen!$D$52*IF('wgl tot'!H62&gt;1,1,'wgl tot'!H62),0),2)</f>
        <v>0</v>
      </c>
      <c r="R62" s="497">
        <f>IF(AND(F62&gt;0,F62&lt;17),tabellen!$C$37*'wgl tot'!H62,0)</f>
        <v>0</v>
      </c>
      <c r="S62" s="497">
        <f>VLOOKUP(BD62,eindejaarsuitkering_OOP,2,TRUE)*'wgl tot'!H62/12</f>
        <v>0</v>
      </c>
      <c r="T62" s="497">
        <f>ROUND('wgl tot'!H62*tabellen!$D$50,2)</f>
        <v>0</v>
      </c>
      <c r="U62" s="498">
        <f t="shared" si="17"/>
        <v>0</v>
      </c>
      <c r="V62" s="497">
        <f>('wgl tot'!L62+'wgl tot'!P62)*tabellen!$C$39*12</f>
        <v>0</v>
      </c>
      <c r="W62" s="479">
        <f t="shared" si="10"/>
        <v>0</v>
      </c>
      <c r="X62" s="467"/>
      <c r="Y62" s="498">
        <f t="shared" si="26"/>
        <v>0</v>
      </c>
      <c r="Z62" s="674">
        <f>+'wgl tot'!V62/12</f>
        <v>0</v>
      </c>
      <c r="AA62" s="467"/>
      <c r="AB62" s="497">
        <f>IF(F62="",0,(IF('wgl tot'!U62/'wgl tot'!H62&lt;tabellen!$E$6,0,('wgl tot'!U62-tabellen!$E$6*'wgl tot'!H62)/12)*tabellen!$C$6))</f>
        <v>0</v>
      </c>
      <c r="AC62" s="497">
        <f>IF(F62="",0,(IF('wgl tot'!U62/'wgl tot'!H62&lt;tabellen!$E$7,0,(+'wgl tot'!U62-tabellen!$E$7*'wgl tot'!H62)/12)*tabellen!$C$7))</f>
        <v>0</v>
      </c>
      <c r="AD62" s="497">
        <f>'wgl tot'!U62/12*tabellen!$C$8</f>
        <v>0</v>
      </c>
      <c r="AE62" s="497">
        <f>IF(H62=0,0,IF(BJ62&gt;tabellen!$G$9/12,tabellen!$G$9/12,BJ62)*(tabellen!$C$9+tabellen!$C$10))</f>
        <v>0</v>
      </c>
      <c r="AF62" s="497">
        <f>IF(F62="",0,('wgl tot'!BK62))</f>
        <v>0</v>
      </c>
      <c r="AG62" s="499">
        <f>IF(F62="",0,(IF('wgl tot'!BJ62&gt;tabellen!$G$12*'wgl tot'!H62/12,tabellen!$G$12*'wgl tot'!H62/12,'wgl tot'!BJ62)*tabellen!$C$12))</f>
        <v>0</v>
      </c>
      <c r="AH62" s="467"/>
      <c r="AI62" s="499">
        <f>IF(F62="",0,('wgl tot'!BJ62*IF(J62=1,tabellen!$C$13,IF(J62=2,tabellen!$C$14,IF(J62=3,tabellen!$C$15,tabellen!$C$16)))))</f>
        <v>0</v>
      </c>
      <c r="AJ62" s="499">
        <f>IF(F62="",0,('wgl tot'!BJ62*tabellen!$C$17))</f>
        <v>0</v>
      </c>
      <c r="AK62" s="679">
        <v>0</v>
      </c>
      <c r="AL62" s="467"/>
      <c r="AM62" s="479">
        <f t="shared" si="18"/>
        <v>0</v>
      </c>
      <c r="AN62" s="479">
        <f t="shared" si="27"/>
        <v>0</v>
      </c>
      <c r="AO62" s="467"/>
      <c r="AP62" s="503" t="str">
        <f t="shared" si="19"/>
        <v/>
      </c>
      <c r="AQ62" s="503" t="str">
        <f t="shared" si="20"/>
        <v/>
      </c>
      <c r="AR62" s="467"/>
      <c r="AS62" s="444"/>
      <c r="AT62" s="436"/>
      <c r="AU62" s="436"/>
      <c r="AV62" s="481">
        <f ca="1">YEAR('wgl tot'!$AV$9)-YEAR('wgl tot'!E62)</f>
        <v>118</v>
      </c>
      <c r="AW62" s="481">
        <f ca="1">MONTH('wgl tot'!$AV$9)-MONTH('wgl tot'!E62)</f>
        <v>8</v>
      </c>
      <c r="AX62" s="481">
        <f ca="1">DAY('wgl tot'!$AV$9)-DAY('wgl tot'!E62)</f>
        <v>21</v>
      </c>
      <c r="AY62" s="445">
        <f>IF(AND('wgl tot'!F62&gt;0,'wgl tot'!F62&lt;17),0,100)</f>
        <v>100</v>
      </c>
      <c r="AZ62" s="445">
        <f t="shared" si="21"/>
        <v>0</v>
      </c>
      <c r="BA62" s="464">
        <v>42583</v>
      </c>
      <c r="BB62" s="482">
        <f t="shared" si="15"/>
        <v>0.08</v>
      </c>
      <c r="BC62" s="483">
        <f>+tabellen!$D$44</f>
        <v>6.3E-2</v>
      </c>
      <c r="BD62" s="481">
        <f>IF('wgl tot'!AY62=100,0,'wgl tot'!F62)</f>
        <v>0</v>
      </c>
      <c r="BE62" s="483" t="str">
        <f>IF(OR('wgl tot'!F62="DA",'wgl tot'!F62="DB",'wgl tot'!F62="DBuit",'wgl tot'!F62="DC",'wgl tot'!F62="DCuit",MID('wgl tot'!F62,1,5)="meerh"),"j","n")</f>
        <v>n</v>
      </c>
      <c r="BF62" s="485" t="e">
        <f>IF('wgl tot'!U62/'wgl tot'!H62&lt;tabellen!$E$6,0,(+'wgl tot'!U62-tabellen!$E$6*'wgl tot'!H62)/12*tabellen!$D$6)</f>
        <v>#DIV/0!</v>
      </c>
      <c r="BG62" s="485" t="e">
        <f>IF('wgl tot'!U62/'wgl tot'!H62&lt;tabellen!$E$7,0,(+'wgl tot'!U62-tabellen!$E$7*'wgl tot'!H62)/12*tabellen!$D$7)</f>
        <v>#DIV/0!</v>
      </c>
      <c r="BH62" s="485">
        <f>'wgl tot'!U62/12*tabellen!$D$8</f>
        <v>0</v>
      </c>
      <c r="BI62" s="486" t="e">
        <f t="shared" si="28"/>
        <v>#DIV/0!</v>
      </c>
      <c r="BJ62" s="487" t="e">
        <f>+(U62+V62)/12-'wgl tot'!BI62</f>
        <v>#DIV/0!</v>
      </c>
      <c r="BK62" s="487" t="e">
        <f>ROUND(IF('wgl tot'!BJ62&gt;tabellen!$H$11,tabellen!$H$11,'wgl tot'!BJ62)*tabellen!$C$11,2)</f>
        <v>#DIV/0!</v>
      </c>
      <c r="BL62" s="487" t="e">
        <f>+'wgl tot'!BJ62+'wgl tot'!BK62</f>
        <v>#DIV/0!</v>
      </c>
      <c r="BM62" s="488">
        <f t="shared" si="22"/>
        <v>1900</v>
      </c>
      <c r="BN62" s="488">
        <f t="shared" si="23"/>
        <v>1</v>
      </c>
      <c r="BO62" s="481">
        <f t="shared" si="24"/>
        <v>0</v>
      </c>
      <c r="BP62" s="464">
        <f t="shared" si="29"/>
        <v>22462</v>
      </c>
      <c r="BQ62" s="464">
        <f t="shared" ca="1" si="14"/>
        <v>43364.939215393519</v>
      </c>
      <c r="BR62" s="445"/>
      <c r="BS62" s="464"/>
      <c r="BT62" s="445"/>
      <c r="BU62" s="484"/>
      <c r="BV62" s="484"/>
      <c r="BW62" s="484"/>
      <c r="BX62" s="484"/>
      <c r="BY62" s="484"/>
      <c r="BZ62" s="484"/>
      <c r="CA62" s="436"/>
      <c r="CB62" s="436"/>
    </row>
    <row r="63" spans="1:80" s="447" customFormat="1" ht="12" customHeight="1" x14ac:dyDescent="0.2">
      <c r="A63" s="436"/>
      <c r="B63" s="437"/>
      <c r="C63" s="467"/>
      <c r="D63" s="473"/>
      <c r="E63" s="474"/>
      <c r="F63" s="475"/>
      <c r="G63" s="475"/>
      <c r="H63" s="476"/>
      <c r="I63" s="475"/>
      <c r="J63" s="477"/>
      <c r="K63" s="497">
        <f>IF(F63="",0,(VLOOKUP('wgl tot'!F63,saltab2019,'wgl tot'!G63+1,FALSE)))</f>
        <v>0</v>
      </c>
      <c r="L63" s="479">
        <f t="shared" si="25"/>
        <v>0</v>
      </c>
      <c r="M63" s="467"/>
      <c r="N63" s="497">
        <f>ROUND(IF(('wgl tot'!L63+'wgl tot'!P63)*BB63&lt;'wgl tot'!H63*tabellen!$D$43,'wgl tot'!H63*tabellen!$D$43,('wgl tot'!L63+'wgl tot'!P63)*BB63),2)</f>
        <v>0</v>
      </c>
      <c r="O63" s="497">
        <f>ROUND(+('wgl tot'!L63+'wgl tot'!P63)*BC63,2)</f>
        <v>0</v>
      </c>
      <c r="P63" s="497">
        <f>ROUND(IF(I63="j",VLOOKUP(AZ63,uitlooptoeslag,2,FALSE))*IF('wgl tot'!H63&gt;1,1,'wgl tot'!H63),2)</f>
        <v>0</v>
      </c>
      <c r="Q63" s="497">
        <f>ROUND(IF(BE63="j",tabellen!$D$52*IF('wgl tot'!H63&gt;1,1,'wgl tot'!H63),0),2)</f>
        <v>0</v>
      </c>
      <c r="R63" s="497">
        <f>IF(AND(F63&gt;0,F63&lt;17),tabellen!$C$37*'wgl tot'!H63,0)</f>
        <v>0</v>
      </c>
      <c r="S63" s="497">
        <f>VLOOKUP(BD63,eindejaarsuitkering_OOP,2,TRUE)*'wgl tot'!H63/12</f>
        <v>0</v>
      </c>
      <c r="T63" s="497">
        <f>ROUND('wgl tot'!H63*tabellen!$D$50,2)</f>
        <v>0</v>
      </c>
      <c r="U63" s="498">
        <f t="shared" si="17"/>
        <v>0</v>
      </c>
      <c r="V63" s="497">
        <f>('wgl tot'!L63+'wgl tot'!P63)*tabellen!$C$39*12</f>
        <v>0</v>
      </c>
      <c r="W63" s="479">
        <f t="shared" si="10"/>
        <v>0</v>
      </c>
      <c r="X63" s="467"/>
      <c r="Y63" s="498">
        <f t="shared" si="26"/>
        <v>0</v>
      </c>
      <c r="Z63" s="674">
        <f>+'wgl tot'!V63/12</f>
        <v>0</v>
      </c>
      <c r="AA63" s="467"/>
      <c r="AB63" s="497">
        <f>IF(F63="",0,(IF('wgl tot'!U63/'wgl tot'!H63&lt;tabellen!$E$6,0,('wgl tot'!U63-tabellen!$E$6*'wgl tot'!H63)/12)*tabellen!$C$6))</f>
        <v>0</v>
      </c>
      <c r="AC63" s="497">
        <f>IF(F63="",0,(IF('wgl tot'!U63/'wgl tot'!H63&lt;tabellen!$E$7,0,(+'wgl tot'!U63-tabellen!$E$7*'wgl tot'!H63)/12)*tabellen!$C$7))</f>
        <v>0</v>
      </c>
      <c r="AD63" s="497">
        <f>'wgl tot'!U63/12*tabellen!$C$8</f>
        <v>0</v>
      </c>
      <c r="AE63" s="497">
        <f>IF(H63=0,0,IF(BJ63&gt;tabellen!$G$9/12,tabellen!$G$9/12,BJ63)*(tabellen!$C$9+tabellen!$C$10))</f>
        <v>0</v>
      </c>
      <c r="AF63" s="497">
        <f>IF(F63="",0,('wgl tot'!BK63))</f>
        <v>0</v>
      </c>
      <c r="AG63" s="499">
        <f>IF(F63="",0,(IF('wgl tot'!BJ63&gt;tabellen!$G$12*'wgl tot'!H63/12,tabellen!$G$12*'wgl tot'!H63/12,'wgl tot'!BJ63)*tabellen!$C$12))</f>
        <v>0</v>
      </c>
      <c r="AH63" s="467"/>
      <c r="AI63" s="499">
        <f>IF(F63="",0,('wgl tot'!BJ63*IF(J63=1,tabellen!$C$13,IF(J63=2,tabellen!$C$14,IF(J63=3,tabellen!$C$15,tabellen!$C$16)))))</f>
        <v>0</v>
      </c>
      <c r="AJ63" s="499">
        <f>IF(F63="",0,('wgl tot'!BJ63*tabellen!$C$17))</f>
        <v>0</v>
      </c>
      <c r="AK63" s="679">
        <v>0</v>
      </c>
      <c r="AL63" s="467"/>
      <c r="AM63" s="479">
        <f t="shared" si="18"/>
        <v>0</v>
      </c>
      <c r="AN63" s="479">
        <f t="shared" si="27"/>
        <v>0</v>
      </c>
      <c r="AO63" s="467"/>
      <c r="AP63" s="503" t="str">
        <f t="shared" si="19"/>
        <v/>
      </c>
      <c r="AQ63" s="503" t="str">
        <f t="shared" si="20"/>
        <v/>
      </c>
      <c r="AR63" s="467"/>
      <c r="AS63" s="444"/>
      <c r="AT63" s="436"/>
      <c r="AU63" s="436"/>
      <c r="AV63" s="481">
        <f ca="1">YEAR('wgl tot'!$AV$9)-YEAR('wgl tot'!E63)</f>
        <v>118</v>
      </c>
      <c r="AW63" s="481">
        <f ca="1">MONTH('wgl tot'!$AV$9)-MONTH('wgl tot'!E63)</f>
        <v>8</v>
      </c>
      <c r="AX63" s="481">
        <f ca="1">DAY('wgl tot'!$AV$9)-DAY('wgl tot'!E63)</f>
        <v>21</v>
      </c>
      <c r="AY63" s="445">
        <f>IF(AND('wgl tot'!F63&gt;0,'wgl tot'!F63&lt;17),0,100)</f>
        <v>100</v>
      </c>
      <c r="AZ63" s="445">
        <f t="shared" si="21"/>
        <v>0</v>
      </c>
      <c r="BA63" s="464">
        <v>42583</v>
      </c>
      <c r="BB63" s="482">
        <f t="shared" si="15"/>
        <v>0.08</v>
      </c>
      <c r="BC63" s="483">
        <f>+tabellen!$D$44</f>
        <v>6.3E-2</v>
      </c>
      <c r="BD63" s="481">
        <f>IF('wgl tot'!AY63=100,0,'wgl tot'!F63)</f>
        <v>0</v>
      </c>
      <c r="BE63" s="483" t="str">
        <f>IF(OR('wgl tot'!F63="DA",'wgl tot'!F63="DB",'wgl tot'!F63="DBuit",'wgl tot'!F63="DC",'wgl tot'!F63="DCuit",MID('wgl tot'!F63,1,5)="meerh"),"j","n")</f>
        <v>n</v>
      </c>
      <c r="BF63" s="485" t="e">
        <f>IF('wgl tot'!U63/'wgl tot'!H63&lt;tabellen!$E$6,0,(+'wgl tot'!U63-tabellen!$E$6*'wgl tot'!H63)/12*tabellen!$D$6)</f>
        <v>#DIV/0!</v>
      </c>
      <c r="BG63" s="485" t="e">
        <f>IF('wgl tot'!U63/'wgl tot'!H63&lt;tabellen!$E$7,0,(+'wgl tot'!U63-tabellen!$E$7*'wgl tot'!H63)/12*tabellen!$D$7)</f>
        <v>#DIV/0!</v>
      </c>
      <c r="BH63" s="485">
        <f>'wgl tot'!U63/12*tabellen!$D$8</f>
        <v>0</v>
      </c>
      <c r="BI63" s="486" t="e">
        <f t="shared" si="28"/>
        <v>#DIV/0!</v>
      </c>
      <c r="BJ63" s="487" t="e">
        <f>+(U63+V63)/12-'wgl tot'!BI63</f>
        <v>#DIV/0!</v>
      </c>
      <c r="BK63" s="487" t="e">
        <f>ROUND(IF('wgl tot'!BJ63&gt;tabellen!$H$11,tabellen!$H$11,'wgl tot'!BJ63)*tabellen!$C$11,2)</f>
        <v>#DIV/0!</v>
      </c>
      <c r="BL63" s="487" t="e">
        <f>+'wgl tot'!BJ63+'wgl tot'!BK63</f>
        <v>#DIV/0!</v>
      </c>
      <c r="BM63" s="488">
        <f t="shared" si="22"/>
        <v>1900</v>
      </c>
      <c r="BN63" s="488">
        <f t="shared" si="23"/>
        <v>1</v>
      </c>
      <c r="BO63" s="481">
        <f t="shared" si="24"/>
        <v>0</v>
      </c>
      <c r="BP63" s="464">
        <f t="shared" si="29"/>
        <v>22462</v>
      </c>
      <c r="BQ63" s="464">
        <f t="shared" ca="1" si="14"/>
        <v>43364.939215393519</v>
      </c>
      <c r="BR63" s="445"/>
      <c r="BS63" s="464"/>
      <c r="BT63" s="445"/>
      <c r="BU63" s="484"/>
      <c r="BV63" s="484"/>
      <c r="BW63" s="484"/>
      <c r="BX63" s="484"/>
      <c r="BY63" s="484"/>
      <c r="BZ63" s="484"/>
      <c r="CA63" s="436"/>
      <c r="CB63" s="436"/>
    </row>
    <row r="64" spans="1:80" s="447" customFormat="1" ht="12" customHeight="1" x14ac:dyDescent="0.2">
      <c r="A64" s="436"/>
      <c r="B64" s="437"/>
      <c r="C64" s="467"/>
      <c r="D64" s="473"/>
      <c r="E64" s="474"/>
      <c r="F64" s="475"/>
      <c r="G64" s="475"/>
      <c r="H64" s="476"/>
      <c r="I64" s="475"/>
      <c r="J64" s="477"/>
      <c r="K64" s="497">
        <f>IF(F64="",0,(VLOOKUP('wgl tot'!F64,saltab2019,'wgl tot'!G64+1,FALSE)))</f>
        <v>0</v>
      </c>
      <c r="L64" s="479">
        <f t="shared" si="25"/>
        <v>0</v>
      </c>
      <c r="M64" s="467"/>
      <c r="N64" s="497">
        <f>ROUND(IF(('wgl tot'!L64+'wgl tot'!P64)*BB64&lt;'wgl tot'!H64*tabellen!$D$43,'wgl tot'!H64*tabellen!$D$43,('wgl tot'!L64+'wgl tot'!P64)*BB64),2)</f>
        <v>0</v>
      </c>
      <c r="O64" s="497">
        <f>ROUND(+('wgl tot'!L64+'wgl tot'!P64)*BC64,2)</f>
        <v>0</v>
      </c>
      <c r="P64" s="497">
        <f>ROUND(IF(I64="j",VLOOKUP(AZ64,uitlooptoeslag,2,FALSE))*IF('wgl tot'!H64&gt;1,1,'wgl tot'!H64),2)</f>
        <v>0</v>
      </c>
      <c r="Q64" s="497">
        <f>ROUND(IF(BE64="j",tabellen!$D$52*IF('wgl tot'!H64&gt;1,1,'wgl tot'!H64),0),2)</f>
        <v>0</v>
      </c>
      <c r="R64" s="497">
        <f>IF(AND(F64&gt;0,F64&lt;17),tabellen!$C$37*'wgl tot'!H64,0)</f>
        <v>0</v>
      </c>
      <c r="S64" s="497">
        <f>VLOOKUP(BD64,eindejaarsuitkering_OOP,2,TRUE)*'wgl tot'!H64/12</f>
        <v>0</v>
      </c>
      <c r="T64" s="497">
        <f>ROUND('wgl tot'!H64*tabellen!$D$50,2)</f>
        <v>0</v>
      </c>
      <c r="U64" s="498">
        <f t="shared" si="17"/>
        <v>0</v>
      </c>
      <c r="V64" s="497">
        <f>('wgl tot'!L64+'wgl tot'!P64)*tabellen!$C$39*12</f>
        <v>0</v>
      </c>
      <c r="W64" s="479">
        <f t="shared" si="10"/>
        <v>0</v>
      </c>
      <c r="X64" s="467"/>
      <c r="Y64" s="498">
        <f t="shared" si="26"/>
        <v>0</v>
      </c>
      <c r="Z64" s="674">
        <f>+'wgl tot'!V64/12</f>
        <v>0</v>
      </c>
      <c r="AA64" s="467"/>
      <c r="AB64" s="497">
        <f>IF(F64="",0,(IF('wgl tot'!U64/'wgl tot'!H64&lt;tabellen!$E$6,0,('wgl tot'!U64-tabellen!$E$6*'wgl tot'!H64)/12)*tabellen!$C$6))</f>
        <v>0</v>
      </c>
      <c r="AC64" s="497">
        <f>IF(F64="",0,(IF('wgl tot'!U64/'wgl tot'!H64&lt;tabellen!$E$7,0,(+'wgl tot'!U64-tabellen!$E$7*'wgl tot'!H64)/12)*tabellen!$C$7))</f>
        <v>0</v>
      </c>
      <c r="AD64" s="497">
        <f>'wgl tot'!U64/12*tabellen!$C$8</f>
        <v>0</v>
      </c>
      <c r="AE64" s="497">
        <f>IF(H64=0,0,IF(BJ64&gt;tabellen!$G$9/12,tabellen!$G$9/12,BJ64)*(tabellen!$C$9+tabellen!$C$10))</f>
        <v>0</v>
      </c>
      <c r="AF64" s="497">
        <f>IF(F64="",0,('wgl tot'!BK64))</f>
        <v>0</v>
      </c>
      <c r="AG64" s="499">
        <f>IF(F64="",0,(IF('wgl tot'!BJ64&gt;tabellen!$G$12*'wgl tot'!H64/12,tabellen!$G$12*'wgl tot'!H64/12,'wgl tot'!BJ64)*tabellen!$C$12))</f>
        <v>0</v>
      </c>
      <c r="AH64" s="467"/>
      <c r="AI64" s="499">
        <f>IF(F64="",0,('wgl tot'!BJ64*IF(J64=1,tabellen!$C$13,IF(J64=2,tabellen!$C$14,IF(J64=3,tabellen!$C$15,tabellen!$C$16)))))</f>
        <v>0</v>
      </c>
      <c r="AJ64" s="499">
        <f>IF(F64="",0,('wgl tot'!BJ64*tabellen!$C$17))</f>
        <v>0</v>
      </c>
      <c r="AK64" s="679">
        <v>0</v>
      </c>
      <c r="AL64" s="467"/>
      <c r="AM64" s="479">
        <f t="shared" si="18"/>
        <v>0</v>
      </c>
      <c r="AN64" s="479">
        <f t="shared" si="27"/>
        <v>0</v>
      </c>
      <c r="AO64" s="467"/>
      <c r="AP64" s="503" t="str">
        <f t="shared" si="19"/>
        <v/>
      </c>
      <c r="AQ64" s="503" t="str">
        <f t="shared" si="20"/>
        <v/>
      </c>
      <c r="AR64" s="467"/>
      <c r="AS64" s="444"/>
      <c r="AT64" s="436"/>
      <c r="AU64" s="436"/>
      <c r="AV64" s="481">
        <f ca="1">YEAR('wgl tot'!$AV$9)-YEAR('wgl tot'!E64)</f>
        <v>118</v>
      </c>
      <c r="AW64" s="481">
        <f ca="1">MONTH('wgl tot'!$AV$9)-MONTH('wgl tot'!E64)</f>
        <v>8</v>
      </c>
      <c r="AX64" s="481">
        <f ca="1">DAY('wgl tot'!$AV$9)-DAY('wgl tot'!E64)</f>
        <v>21</v>
      </c>
      <c r="AY64" s="445">
        <f>IF(AND('wgl tot'!F64&gt;0,'wgl tot'!F64&lt;17),0,100)</f>
        <v>100</v>
      </c>
      <c r="AZ64" s="445">
        <f t="shared" si="21"/>
        <v>0</v>
      </c>
      <c r="BA64" s="464">
        <v>42583</v>
      </c>
      <c r="BB64" s="482">
        <f t="shared" si="15"/>
        <v>0.08</v>
      </c>
      <c r="BC64" s="483">
        <f>+tabellen!$D$44</f>
        <v>6.3E-2</v>
      </c>
      <c r="BD64" s="481">
        <f>IF('wgl tot'!AY64=100,0,'wgl tot'!F64)</f>
        <v>0</v>
      </c>
      <c r="BE64" s="483" t="str">
        <f>IF(OR('wgl tot'!F64="DA",'wgl tot'!F64="DB",'wgl tot'!F64="DBuit",'wgl tot'!F64="DC",'wgl tot'!F64="DCuit",MID('wgl tot'!F64,1,5)="meerh"),"j","n")</f>
        <v>n</v>
      </c>
      <c r="BF64" s="485" t="e">
        <f>IF('wgl tot'!U64/'wgl tot'!H64&lt;tabellen!$E$6,0,(+'wgl tot'!U64-tabellen!$E$6*'wgl tot'!H64)/12*tabellen!$D$6)</f>
        <v>#DIV/0!</v>
      </c>
      <c r="BG64" s="485" t="e">
        <f>IF('wgl tot'!U64/'wgl tot'!H64&lt;tabellen!$E$7,0,(+'wgl tot'!U64-tabellen!$E$7*'wgl tot'!H64)/12*tabellen!$D$7)</f>
        <v>#DIV/0!</v>
      </c>
      <c r="BH64" s="485">
        <f>'wgl tot'!U64/12*tabellen!$D$8</f>
        <v>0</v>
      </c>
      <c r="BI64" s="486" t="e">
        <f t="shared" si="28"/>
        <v>#DIV/0!</v>
      </c>
      <c r="BJ64" s="487" t="e">
        <f>+(U64+V64)/12-'wgl tot'!BI64</f>
        <v>#DIV/0!</v>
      </c>
      <c r="BK64" s="487" t="e">
        <f>ROUND(IF('wgl tot'!BJ64&gt;tabellen!$H$11,tabellen!$H$11,'wgl tot'!BJ64)*tabellen!$C$11,2)</f>
        <v>#DIV/0!</v>
      </c>
      <c r="BL64" s="487" t="e">
        <f>+'wgl tot'!BJ64+'wgl tot'!BK64</f>
        <v>#DIV/0!</v>
      </c>
      <c r="BM64" s="488">
        <f t="shared" si="22"/>
        <v>1900</v>
      </c>
      <c r="BN64" s="488">
        <f t="shared" si="23"/>
        <v>1</v>
      </c>
      <c r="BO64" s="481">
        <f t="shared" si="24"/>
        <v>0</v>
      </c>
      <c r="BP64" s="464">
        <f t="shared" si="29"/>
        <v>22462</v>
      </c>
      <c r="BQ64" s="464">
        <f t="shared" ca="1" si="14"/>
        <v>43364.939215393519</v>
      </c>
      <c r="BR64" s="445"/>
      <c r="BS64" s="464"/>
      <c r="BT64" s="445"/>
      <c r="BU64" s="484"/>
      <c r="BV64" s="484"/>
      <c r="BW64" s="484"/>
      <c r="BX64" s="484"/>
      <c r="BY64" s="484"/>
      <c r="BZ64" s="484"/>
      <c r="CA64" s="436"/>
      <c r="CB64" s="436"/>
    </row>
    <row r="65" spans="1:80" s="447" customFormat="1" ht="12" customHeight="1" x14ac:dyDescent="0.2">
      <c r="A65" s="436"/>
      <c r="B65" s="437"/>
      <c r="C65" s="467"/>
      <c r="D65" s="473"/>
      <c r="E65" s="474"/>
      <c r="F65" s="475"/>
      <c r="G65" s="475"/>
      <c r="H65" s="476"/>
      <c r="I65" s="475"/>
      <c r="J65" s="477"/>
      <c r="K65" s="497">
        <f>IF(F65="",0,(VLOOKUP('wgl tot'!F65,saltab2019,'wgl tot'!G65+1,FALSE)))</f>
        <v>0</v>
      </c>
      <c r="L65" s="479">
        <f t="shared" si="25"/>
        <v>0</v>
      </c>
      <c r="M65" s="467"/>
      <c r="N65" s="497">
        <f>ROUND(IF(('wgl tot'!L65+'wgl tot'!P65)*BB65&lt;'wgl tot'!H65*tabellen!$D$43,'wgl tot'!H65*tabellen!$D$43,('wgl tot'!L65+'wgl tot'!P65)*BB65),2)</f>
        <v>0</v>
      </c>
      <c r="O65" s="497">
        <f>ROUND(+('wgl tot'!L65+'wgl tot'!P65)*BC65,2)</f>
        <v>0</v>
      </c>
      <c r="P65" s="497">
        <f>ROUND(IF(I65="j",VLOOKUP(AZ65,uitlooptoeslag,2,FALSE))*IF('wgl tot'!H65&gt;1,1,'wgl tot'!H65),2)</f>
        <v>0</v>
      </c>
      <c r="Q65" s="497">
        <f>ROUND(IF(BE65="j",tabellen!$D$52*IF('wgl tot'!H65&gt;1,1,'wgl tot'!H65),0),2)</f>
        <v>0</v>
      </c>
      <c r="R65" s="497">
        <f>IF(AND(F65&gt;0,F65&lt;17),tabellen!$C$37*'wgl tot'!H65,0)</f>
        <v>0</v>
      </c>
      <c r="S65" s="497">
        <f>VLOOKUP(BD65,eindejaarsuitkering_OOP,2,TRUE)*'wgl tot'!H65/12</f>
        <v>0</v>
      </c>
      <c r="T65" s="497">
        <f>ROUND('wgl tot'!H65*tabellen!$D$50,2)</f>
        <v>0</v>
      </c>
      <c r="U65" s="498">
        <f t="shared" si="17"/>
        <v>0</v>
      </c>
      <c r="V65" s="497">
        <f>('wgl tot'!L65+'wgl tot'!P65)*tabellen!$C$39*12</f>
        <v>0</v>
      </c>
      <c r="W65" s="479">
        <f t="shared" si="10"/>
        <v>0</v>
      </c>
      <c r="X65" s="467"/>
      <c r="Y65" s="498">
        <f t="shared" si="26"/>
        <v>0</v>
      </c>
      <c r="Z65" s="674">
        <f>+'wgl tot'!V65/12</f>
        <v>0</v>
      </c>
      <c r="AA65" s="467"/>
      <c r="AB65" s="497">
        <f>IF(F65="",0,(IF('wgl tot'!U65/'wgl tot'!H65&lt;tabellen!$E$6,0,('wgl tot'!U65-tabellen!$E$6*'wgl tot'!H65)/12)*tabellen!$C$6))</f>
        <v>0</v>
      </c>
      <c r="AC65" s="497">
        <f>IF(F65="",0,(IF('wgl tot'!U65/'wgl tot'!H65&lt;tabellen!$E$7,0,(+'wgl tot'!U65-tabellen!$E$7*'wgl tot'!H65)/12)*tabellen!$C$7))</f>
        <v>0</v>
      </c>
      <c r="AD65" s="497">
        <f>'wgl tot'!U65/12*tabellen!$C$8</f>
        <v>0</v>
      </c>
      <c r="AE65" s="497">
        <f>IF(H65=0,0,IF(BJ65&gt;tabellen!$G$9/12,tabellen!$G$9/12,BJ65)*(tabellen!$C$9+tabellen!$C$10))</f>
        <v>0</v>
      </c>
      <c r="AF65" s="497">
        <f>IF(F65="",0,('wgl tot'!BK65))</f>
        <v>0</v>
      </c>
      <c r="AG65" s="499">
        <f>IF(F65="",0,(IF('wgl tot'!BJ65&gt;tabellen!$G$12*'wgl tot'!H65/12,tabellen!$G$12*'wgl tot'!H65/12,'wgl tot'!BJ65)*tabellen!$C$12))</f>
        <v>0</v>
      </c>
      <c r="AH65" s="467"/>
      <c r="AI65" s="499">
        <f>IF(F65="",0,('wgl tot'!BJ65*IF(J65=1,tabellen!$C$13,IF(J65=2,tabellen!$C$14,IF(J65=3,tabellen!$C$15,tabellen!$C$16)))))</f>
        <v>0</v>
      </c>
      <c r="AJ65" s="499">
        <f>IF(F65="",0,('wgl tot'!BJ65*tabellen!$C$17))</f>
        <v>0</v>
      </c>
      <c r="AK65" s="679">
        <v>0</v>
      </c>
      <c r="AL65" s="467"/>
      <c r="AM65" s="479">
        <f t="shared" si="18"/>
        <v>0</v>
      </c>
      <c r="AN65" s="479">
        <f t="shared" si="27"/>
        <v>0</v>
      </c>
      <c r="AO65" s="467"/>
      <c r="AP65" s="503" t="str">
        <f t="shared" si="19"/>
        <v/>
      </c>
      <c r="AQ65" s="503" t="str">
        <f t="shared" si="20"/>
        <v/>
      </c>
      <c r="AR65" s="467"/>
      <c r="AS65" s="444"/>
      <c r="AT65" s="436"/>
      <c r="AU65" s="436"/>
      <c r="AV65" s="481">
        <f ca="1">YEAR('wgl tot'!$AV$9)-YEAR('wgl tot'!E65)</f>
        <v>118</v>
      </c>
      <c r="AW65" s="481">
        <f ca="1">MONTH('wgl tot'!$AV$9)-MONTH('wgl tot'!E65)</f>
        <v>8</v>
      </c>
      <c r="AX65" s="481">
        <f ca="1">DAY('wgl tot'!$AV$9)-DAY('wgl tot'!E65)</f>
        <v>21</v>
      </c>
      <c r="AY65" s="445">
        <f>IF(AND('wgl tot'!F65&gt;0,'wgl tot'!F65&lt;17),0,100)</f>
        <v>100</v>
      </c>
      <c r="AZ65" s="445">
        <f t="shared" si="21"/>
        <v>0</v>
      </c>
      <c r="BA65" s="464">
        <v>42583</v>
      </c>
      <c r="BB65" s="482">
        <f t="shared" si="15"/>
        <v>0.08</v>
      </c>
      <c r="BC65" s="483">
        <f>+tabellen!$D$44</f>
        <v>6.3E-2</v>
      </c>
      <c r="BD65" s="481">
        <f>IF('wgl tot'!AY65=100,0,'wgl tot'!F65)</f>
        <v>0</v>
      </c>
      <c r="BE65" s="483" t="str">
        <f>IF(OR('wgl tot'!F65="DA",'wgl tot'!F65="DB",'wgl tot'!F65="DBuit",'wgl tot'!F65="DC",'wgl tot'!F65="DCuit",MID('wgl tot'!F65,1,5)="meerh"),"j","n")</f>
        <v>n</v>
      </c>
      <c r="BF65" s="485" t="e">
        <f>IF('wgl tot'!U65/'wgl tot'!H65&lt;tabellen!$E$6,0,(+'wgl tot'!U65-tabellen!$E$6*'wgl tot'!H65)/12*tabellen!$D$6)</f>
        <v>#DIV/0!</v>
      </c>
      <c r="BG65" s="485" t="e">
        <f>IF('wgl tot'!U65/'wgl tot'!H65&lt;tabellen!$E$7,0,(+'wgl tot'!U65-tabellen!$E$7*'wgl tot'!H65)/12*tabellen!$D$7)</f>
        <v>#DIV/0!</v>
      </c>
      <c r="BH65" s="485">
        <f>'wgl tot'!U65/12*tabellen!$D$8</f>
        <v>0</v>
      </c>
      <c r="BI65" s="486" t="e">
        <f t="shared" si="28"/>
        <v>#DIV/0!</v>
      </c>
      <c r="BJ65" s="487" t="e">
        <f>+(U65+V65)/12-'wgl tot'!BI65</f>
        <v>#DIV/0!</v>
      </c>
      <c r="BK65" s="487" t="e">
        <f>ROUND(IF('wgl tot'!BJ65&gt;tabellen!$H$11,tabellen!$H$11,'wgl tot'!BJ65)*tabellen!$C$11,2)</f>
        <v>#DIV/0!</v>
      </c>
      <c r="BL65" s="487" t="e">
        <f>+'wgl tot'!BJ65+'wgl tot'!BK65</f>
        <v>#DIV/0!</v>
      </c>
      <c r="BM65" s="488">
        <f t="shared" si="22"/>
        <v>1900</v>
      </c>
      <c r="BN65" s="488">
        <f t="shared" si="23"/>
        <v>1</v>
      </c>
      <c r="BO65" s="481">
        <f t="shared" si="24"/>
        <v>0</v>
      </c>
      <c r="BP65" s="464">
        <f t="shared" si="29"/>
        <v>22462</v>
      </c>
      <c r="BQ65" s="464">
        <f t="shared" ca="1" si="14"/>
        <v>43364.939215393519</v>
      </c>
      <c r="BR65" s="445"/>
      <c r="BS65" s="464"/>
      <c r="BT65" s="445"/>
      <c r="BU65" s="484"/>
      <c r="BV65" s="484"/>
      <c r="BW65" s="484"/>
      <c r="BX65" s="484"/>
      <c r="BY65" s="484"/>
      <c r="BZ65" s="484"/>
      <c r="CA65" s="436"/>
      <c r="CB65" s="436"/>
    </row>
    <row r="66" spans="1:80" s="447" customFormat="1" ht="12" customHeight="1" x14ac:dyDescent="0.2">
      <c r="A66" s="436"/>
      <c r="B66" s="437"/>
      <c r="C66" s="467"/>
      <c r="D66" s="473"/>
      <c r="E66" s="474"/>
      <c r="F66" s="475"/>
      <c r="G66" s="475"/>
      <c r="H66" s="476"/>
      <c r="I66" s="475"/>
      <c r="J66" s="477"/>
      <c r="K66" s="497">
        <f>IF(F66="",0,(VLOOKUP('wgl tot'!F66,saltab2019,'wgl tot'!G66+1,FALSE)))</f>
        <v>0</v>
      </c>
      <c r="L66" s="479">
        <f t="shared" si="25"/>
        <v>0</v>
      </c>
      <c r="M66" s="467"/>
      <c r="N66" s="497">
        <f>ROUND(IF(('wgl tot'!L66+'wgl tot'!P66)*BB66&lt;'wgl tot'!H66*tabellen!$D$43,'wgl tot'!H66*tabellen!$D$43,('wgl tot'!L66+'wgl tot'!P66)*BB66),2)</f>
        <v>0</v>
      </c>
      <c r="O66" s="497">
        <f>ROUND(+('wgl tot'!L66+'wgl tot'!P66)*BC66,2)</f>
        <v>0</v>
      </c>
      <c r="P66" s="497">
        <f>ROUND(IF(I66="j",VLOOKUP(AZ66,uitlooptoeslag,2,FALSE))*IF('wgl tot'!H66&gt;1,1,'wgl tot'!H66),2)</f>
        <v>0</v>
      </c>
      <c r="Q66" s="497">
        <f>ROUND(IF(BE66="j",tabellen!$D$52*IF('wgl tot'!H66&gt;1,1,'wgl tot'!H66),0),2)</f>
        <v>0</v>
      </c>
      <c r="R66" s="497">
        <f>IF(AND(F66&gt;0,F66&lt;17),tabellen!$C$37*'wgl tot'!H66,0)</f>
        <v>0</v>
      </c>
      <c r="S66" s="497">
        <f>VLOOKUP(BD66,eindejaarsuitkering_OOP,2,TRUE)*'wgl tot'!H66/12</f>
        <v>0</v>
      </c>
      <c r="T66" s="497">
        <f>ROUND('wgl tot'!H66*tabellen!$D$50,2)</f>
        <v>0</v>
      </c>
      <c r="U66" s="498">
        <f t="shared" si="17"/>
        <v>0</v>
      </c>
      <c r="V66" s="497">
        <f>('wgl tot'!L66+'wgl tot'!P66)*tabellen!$C$39*12</f>
        <v>0</v>
      </c>
      <c r="W66" s="479">
        <f t="shared" si="10"/>
        <v>0</v>
      </c>
      <c r="X66" s="467"/>
      <c r="Y66" s="498">
        <f t="shared" si="26"/>
        <v>0</v>
      </c>
      <c r="Z66" s="674">
        <f>+'wgl tot'!V66/12</f>
        <v>0</v>
      </c>
      <c r="AA66" s="467"/>
      <c r="AB66" s="497">
        <f>IF(F66="",0,(IF('wgl tot'!U66/'wgl tot'!H66&lt;tabellen!$E$6,0,('wgl tot'!U66-tabellen!$E$6*'wgl tot'!H66)/12)*tabellen!$C$6))</f>
        <v>0</v>
      </c>
      <c r="AC66" s="497">
        <f>IF(F66="",0,(IF('wgl tot'!U66/'wgl tot'!H66&lt;tabellen!$E$7,0,(+'wgl tot'!U66-tabellen!$E$7*'wgl tot'!H66)/12)*tabellen!$C$7))</f>
        <v>0</v>
      </c>
      <c r="AD66" s="497">
        <f>'wgl tot'!U66/12*tabellen!$C$8</f>
        <v>0</v>
      </c>
      <c r="AE66" s="497">
        <f>IF(H66=0,0,IF(BJ66&gt;tabellen!$G$9/12,tabellen!$G$9/12,BJ66)*(tabellen!$C$9+tabellen!$C$10))</f>
        <v>0</v>
      </c>
      <c r="AF66" s="497">
        <f>IF(F66="",0,('wgl tot'!BK66))</f>
        <v>0</v>
      </c>
      <c r="AG66" s="499">
        <f>IF(F66="",0,(IF('wgl tot'!BJ66&gt;tabellen!$G$12*'wgl tot'!H66/12,tabellen!$G$12*'wgl tot'!H66/12,'wgl tot'!BJ66)*tabellen!$C$12))</f>
        <v>0</v>
      </c>
      <c r="AH66" s="467"/>
      <c r="AI66" s="499">
        <f>IF(F66="",0,('wgl tot'!BJ66*IF(J66=1,tabellen!$C$13,IF(J66=2,tabellen!$C$14,IF(J66=3,tabellen!$C$15,tabellen!$C$16)))))</f>
        <v>0</v>
      </c>
      <c r="AJ66" s="499">
        <f>IF(F66="",0,('wgl tot'!BJ66*tabellen!$C$17))</f>
        <v>0</v>
      </c>
      <c r="AK66" s="679">
        <v>0</v>
      </c>
      <c r="AL66" s="467"/>
      <c r="AM66" s="479">
        <f t="shared" si="18"/>
        <v>0</v>
      </c>
      <c r="AN66" s="479">
        <f t="shared" si="27"/>
        <v>0</v>
      </c>
      <c r="AO66" s="467"/>
      <c r="AP66" s="503" t="str">
        <f t="shared" si="19"/>
        <v/>
      </c>
      <c r="AQ66" s="503" t="str">
        <f t="shared" si="20"/>
        <v/>
      </c>
      <c r="AR66" s="467"/>
      <c r="AS66" s="444"/>
      <c r="AT66" s="436"/>
      <c r="AU66" s="436"/>
      <c r="AV66" s="481">
        <f ca="1">YEAR('wgl tot'!$AV$9)-YEAR('wgl tot'!E66)</f>
        <v>118</v>
      </c>
      <c r="AW66" s="481">
        <f ca="1">MONTH('wgl tot'!$AV$9)-MONTH('wgl tot'!E66)</f>
        <v>8</v>
      </c>
      <c r="AX66" s="481">
        <f ca="1">DAY('wgl tot'!$AV$9)-DAY('wgl tot'!E66)</f>
        <v>21</v>
      </c>
      <c r="AY66" s="445">
        <f>IF(AND('wgl tot'!F66&gt;0,'wgl tot'!F66&lt;17),0,100)</f>
        <v>100</v>
      </c>
      <c r="AZ66" s="445">
        <f t="shared" si="21"/>
        <v>0</v>
      </c>
      <c r="BA66" s="464">
        <v>42583</v>
      </c>
      <c r="BB66" s="482">
        <f t="shared" si="15"/>
        <v>0.08</v>
      </c>
      <c r="BC66" s="483">
        <f>+tabellen!$D$44</f>
        <v>6.3E-2</v>
      </c>
      <c r="BD66" s="481">
        <f>IF('wgl tot'!AY66=100,0,'wgl tot'!F66)</f>
        <v>0</v>
      </c>
      <c r="BE66" s="483" t="str">
        <f>IF(OR('wgl tot'!F66="DA",'wgl tot'!F66="DB",'wgl tot'!F66="DBuit",'wgl tot'!F66="DC",'wgl tot'!F66="DCuit",MID('wgl tot'!F66,1,5)="meerh"),"j","n")</f>
        <v>n</v>
      </c>
      <c r="BF66" s="485" t="e">
        <f>IF('wgl tot'!U66/'wgl tot'!H66&lt;tabellen!$E$6,0,(+'wgl tot'!U66-tabellen!$E$6*'wgl tot'!H66)/12*tabellen!$D$6)</f>
        <v>#DIV/0!</v>
      </c>
      <c r="BG66" s="485" t="e">
        <f>IF('wgl tot'!U66/'wgl tot'!H66&lt;tabellen!$E$7,0,(+'wgl tot'!U66-tabellen!$E$7*'wgl tot'!H66)/12*tabellen!$D$7)</f>
        <v>#DIV/0!</v>
      </c>
      <c r="BH66" s="485">
        <f>'wgl tot'!U66/12*tabellen!$D$8</f>
        <v>0</v>
      </c>
      <c r="BI66" s="486" t="e">
        <f t="shared" si="28"/>
        <v>#DIV/0!</v>
      </c>
      <c r="BJ66" s="487" t="e">
        <f>+(U66+V66)/12-'wgl tot'!BI66</f>
        <v>#DIV/0!</v>
      </c>
      <c r="BK66" s="487" t="e">
        <f>ROUND(IF('wgl tot'!BJ66&gt;tabellen!$H$11,tabellen!$H$11,'wgl tot'!BJ66)*tabellen!$C$11,2)</f>
        <v>#DIV/0!</v>
      </c>
      <c r="BL66" s="487" t="e">
        <f>+'wgl tot'!BJ66+'wgl tot'!BK66</f>
        <v>#DIV/0!</v>
      </c>
      <c r="BM66" s="488">
        <f t="shared" si="22"/>
        <v>1900</v>
      </c>
      <c r="BN66" s="488">
        <f t="shared" si="23"/>
        <v>1</v>
      </c>
      <c r="BO66" s="481">
        <f t="shared" si="24"/>
        <v>0</v>
      </c>
      <c r="BP66" s="464">
        <f t="shared" si="29"/>
        <v>22462</v>
      </c>
      <c r="BQ66" s="464">
        <f t="shared" ca="1" si="14"/>
        <v>43364.939215393519</v>
      </c>
      <c r="BR66" s="445"/>
      <c r="BS66" s="464"/>
      <c r="BT66" s="445"/>
      <c r="BU66" s="484"/>
      <c r="BV66" s="484"/>
      <c r="BW66" s="484"/>
      <c r="BX66" s="484"/>
      <c r="BY66" s="484"/>
      <c r="BZ66" s="484"/>
      <c r="CA66" s="436"/>
      <c r="CB66" s="436"/>
    </row>
    <row r="67" spans="1:80" s="447" customFormat="1" ht="12" customHeight="1" x14ac:dyDescent="0.2">
      <c r="A67" s="436"/>
      <c r="B67" s="437"/>
      <c r="C67" s="467"/>
      <c r="D67" s="473"/>
      <c r="E67" s="474"/>
      <c r="F67" s="475"/>
      <c r="G67" s="475"/>
      <c r="H67" s="476"/>
      <c r="I67" s="475"/>
      <c r="J67" s="477"/>
      <c r="K67" s="497">
        <f>IF(F67="",0,(VLOOKUP('wgl tot'!F67,saltab2019,'wgl tot'!G67+1,FALSE)))</f>
        <v>0</v>
      </c>
      <c r="L67" s="479">
        <f t="shared" si="25"/>
        <v>0</v>
      </c>
      <c r="M67" s="467"/>
      <c r="N67" s="497">
        <f>ROUND(IF(('wgl tot'!L67+'wgl tot'!P67)*BB67&lt;'wgl tot'!H67*tabellen!$D$43,'wgl tot'!H67*tabellen!$D$43,('wgl tot'!L67+'wgl tot'!P67)*BB67),2)</f>
        <v>0</v>
      </c>
      <c r="O67" s="497">
        <f>ROUND(+('wgl tot'!L67+'wgl tot'!P67)*BC67,2)</f>
        <v>0</v>
      </c>
      <c r="P67" s="497">
        <f>ROUND(IF(I67="j",VLOOKUP(AZ67,uitlooptoeslag,2,FALSE))*IF('wgl tot'!H67&gt;1,1,'wgl tot'!H67),2)</f>
        <v>0</v>
      </c>
      <c r="Q67" s="497">
        <f>ROUND(IF(BE67="j",tabellen!$D$52*IF('wgl tot'!H67&gt;1,1,'wgl tot'!H67),0),2)</f>
        <v>0</v>
      </c>
      <c r="R67" s="497">
        <f>IF(AND(F67&gt;0,F67&lt;17),tabellen!$C$37*'wgl tot'!H67,0)</f>
        <v>0</v>
      </c>
      <c r="S67" s="497">
        <f>VLOOKUP(BD67,eindejaarsuitkering_OOP,2,TRUE)*'wgl tot'!H67/12</f>
        <v>0</v>
      </c>
      <c r="T67" s="497">
        <f>ROUND('wgl tot'!H67*tabellen!$D$50,2)</f>
        <v>0</v>
      </c>
      <c r="U67" s="498">
        <f t="shared" si="17"/>
        <v>0</v>
      </c>
      <c r="V67" s="497">
        <f>('wgl tot'!L67+'wgl tot'!P67)*tabellen!$C$39*12</f>
        <v>0</v>
      </c>
      <c r="W67" s="479">
        <f t="shared" si="10"/>
        <v>0</v>
      </c>
      <c r="X67" s="467"/>
      <c r="Y67" s="498">
        <f t="shared" si="26"/>
        <v>0</v>
      </c>
      <c r="Z67" s="674">
        <f>+'wgl tot'!V67/12</f>
        <v>0</v>
      </c>
      <c r="AA67" s="467"/>
      <c r="AB67" s="497">
        <f>IF(F67="",0,(IF('wgl tot'!U67/'wgl tot'!H67&lt;tabellen!$E$6,0,('wgl tot'!U67-tabellen!$E$6*'wgl tot'!H67)/12)*tabellen!$C$6))</f>
        <v>0</v>
      </c>
      <c r="AC67" s="497">
        <f>IF(F67="",0,(IF('wgl tot'!U67/'wgl tot'!H67&lt;tabellen!$E$7,0,(+'wgl tot'!U67-tabellen!$E$7*'wgl tot'!H67)/12)*tabellen!$C$7))</f>
        <v>0</v>
      </c>
      <c r="AD67" s="497">
        <f>'wgl tot'!U67/12*tabellen!$C$8</f>
        <v>0</v>
      </c>
      <c r="AE67" s="497">
        <f>IF(H67=0,0,IF(BJ67&gt;tabellen!$G$9/12,tabellen!$G$9/12,BJ67)*(tabellen!$C$9+tabellen!$C$10))</f>
        <v>0</v>
      </c>
      <c r="AF67" s="497">
        <f>IF(F67="",0,('wgl tot'!BK67))</f>
        <v>0</v>
      </c>
      <c r="AG67" s="499">
        <f>IF(F67="",0,(IF('wgl tot'!BJ67&gt;tabellen!$G$12*'wgl tot'!H67/12,tabellen!$G$12*'wgl tot'!H67/12,'wgl tot'!BJ67)*tabellen!$C$12))</f>
        <v>0</v>
      </c>
      <c r="AH67" s="467"/>
      <c r="AI67" s="499">
        <f>IF(F67="",0,('wgl tot'!BJ67*IF(J67=1,tabellen!$C$13,IF(J67=2,tabellen!$C$14,IF(J67=3,tabellen!$C$15,tabellen!$C$16)))))</f>
        <v>0</v>
      </c>
      <c r="AJ67" s="499">
        <f>IF(F67="",0,('wgl tot'!BJ67*tabellen!$C$17))</f>
        <v>0</v>
      </c>
      <c r="AK67" s="679">
        <v>0</v>
      </c>
      <c r="AL67" s="467"/>
      <c r="AM67" s="479">
        <f t="shared" si="18"/>
        <v>0</v>
      </c>
      <c r="AN67" s="479">
        <f t="shared" si="27"/>
        <v>0</v>
      </c>
      <c r="AO67" s="467"/>
      <c r="AP67" s="503" t="str">
        <f t="shared" si="19"/>
        <v/>
      </c>
      <c r="AQ67" s="503" t="str">
        <f t="shared" si="20"/>
        <v/>
      </c>
      <c r="AR67" s="467"/>
      <c r="AS67" s="444"/>
      <c r="AT67" s="436"/>
      <c r="AU67" s="436"/>
      <c r="AV67" s="481">
        <f ca="1">YEAR('wgl tot'!$AV$9)-YEAR('wgl tot'!E67)</f>
        <v>118</v>
      </c>
      <c r="AW67" s="481">
        <f ca="1">MONTH('wgl tot'!$AV$9)-MONTH('wgl tot'!E67)</f>
        <v>8</v>
      </c>
      <c r="AX67" s="481">
        <f ca="1">DAY('wgl tot'!$AV$9)-DAY('wgl tot'!E67)</f>
        <v>21</v>
      </c>
      <c r="AY67" s="445">
        <f>IF(AND('wgl tot'!F67&gt;0,'wgl tot'!F67&lt;17),0,100)</f>
        <v>100</v>
      </c>
      <c r="AZ67" s="445">
        <f t="shared" si="21"/>
        <v>0</v>
      </c>
      <c r="BA67" s="464">
        <v>42583</v>
      </c>
      <c r="BB67" s="482">
        <f t="shared" si="15"/>
        <v>0.08</v>
      </c>
      <c r="BC67" s="483">
        <f>+tabellen!$D$44</f>
        <v>6.3E-2</v>
      </c>
      <c r="BD67" s="481">
        <f>IF('wgl tot'!AY67=100,0,'wgl tot'!F67)</f>
        <v>0</v>
      </c>
      <c r="BE67" s="483" t="str">
        <f>IF(OR('wgl tot'!F67="DA",'wgl tot'!F67="DB",'wgl tot'!F67="DBuit",'wgl tot'!F67="DC",'wgl tot'!F67="DCuit",MID('wgl tot'!F67,1,5)="meerh"),"j","n")</f>
        <v>n</v>
      </c>
      <c r="BF67" s="485" t="e">
        <f>IF('wgl tot'!U67/'wgl tot'!H67&lt;tabellen!$E$6,0,(+'wgl tot'!U67-tabellen!$E$6*'wgl tot'!H67)/12*tabellen!$D$6)</f>
        <v>#DIV/0!</v>
      </c>
      <c r="BG67" s="485" t="e">
        <f>IF('wgl tot'!U67/'wgl tot'!H67&lt;tabellen!$E$7,0,(+'wgl tot'!U67-tabellen!$E$7*'wgl tot'!H67)/12*tabellen!$D$7)</f>
        <v>#DIV/0!</v>
      </c>
      <c r="BH67" s="485">
        <f>'wgl tot'!U67/12*tabellen!$D$8</f>
        <v>0</v>
      </c>
      <c r="BI67" s="486" t="e">
        <f t="shared" si="28"/>
        <v>#DIV/0!</v>
      </c>
      <c r="BJ67" s="487" t="e">
        <f>+(U67+V67)/12-'wgl tot'!BI67</f>
        <v>#DIV/0!</v>
      </c>
      <c r="BK67" s="487" t="e">
        <f>ROUND(IF('wgl tot'!BJ67&gt;tabellen!$H$11,tabellen!$H$11,'wgl tot'!BJ67)*tabellen!$C$11,2)</f>
        <v>#DIV/0!</v>
      </c>
      <c r="BL67" s="487" t="e">
        <f>+'wgl tot'!BJ67+'wgl tot'!BK67</f>
        <v>#DIV/0!</v>
      </c>
      <c r="BM67" s="488">
        <f t="shared" si="22"/>
        <v>1900</v>
      </c>
      <c r="BN67" s="488">
        <f t="shared" si="23"/>
        <v>1</v>
      </c>
      <c r="BO67" s="481">
        <f t="shared" si="24"/>
        <v>0</v>
      </c>
      <c r="BP67" s="464">
        <f t="shared" si="29"/>
        <v>22462</v>
      </c>
      <c r="BQ67" s="464">
        <f t="shared" ca="1" si="14"/>
        <v>43364.939215393519</v>
      </c>
      <c r="BR67" s="445"/>
      <c r="BS67" s="464"/>
      <c r="BT67" s="445"/>
      <c r="BU67" s="484"/>
      <c r="BV67" s="484"/>
      <c r="BW67" s="484"/>
      <c r="BX67" s="484"/>
      <c r="BY67" s="484"/>
      <c r="BZ67" s="484"/>
      <c r="CA67" s="436"/>
      <c r="CB67" s="436"/>
    </row>
    <row r="68" spans="1:80" s="447" customFormat="1" ht="12" customHeight="1" x14ac:dyDescent="0.2">
      <c r="A68" s="436"/>
      <c r="B68" s="437"/>
      <c r="C68" s="467"/>
      <c r="D68" s="473"/>
      <c r="E68" s="474"/>
      <c r="F68" s="475"/>
      <c r="G68" s="475"/>
      <c r="H68" s="476"/>
      <c r="I68" s="475"/>
      <c r="J68" s="477"/>
      <c r="K68" s="497">
        <f>IF(F68="",0,(VLOOKUP('wgl tot'!F68,saltab2019,'wgl tot'!G68+1,FALSE)))</f>
        <v>0</v>
      </c>
      <c r="L68" s="479">
        <f t="shared" si="25"/>
        <v>0</v>
      </c>
      <c r="M68" s="467"/>
      <c r="N68" s="497">
        <f>ROUND(IF(('wgl tot'!L68+'wgl tot'!P68)*BB68&lt;'wgl tot'!H68*tabellen!$D$43,'wgl tot'!H68*tabellen!$D$43,('wgl tot'!L68+'wgl tot'!P68)*BB68),2)</f>
        <v>0</v>
      </c>
      <c r="O68" s="497">
        <f>ROUND(+('wgl tot'!L68+'wgl tot'!P68)*BC68,2)</f>
        <v>0</v>
      </c>
      <c r="P68" s="497">
        <f>ROUND(IF(I68="j",VLOOKUP(AZ68,uitlooptoeslag,2,FALSE))*IF('wgl tot'!H68&gt;1,1,'wgl tot'!H68),2)</f>
        <v>0</v>
      </c>
      <c r="Q68" s="497">
        <f>ROUND(IF(BE68="j",tabellen!$D$52*IF('wgl tot'!H68&gt;1,1,'wgl tot'!H68),0),2)</f>
        <v>0</v>
      </c>
      <c r="R68" s="497">
        <f>IF(AND(F68&gt;0,F68&lt;17),tabellen!$C$37*'wgl tot'!H68,0)</f>
        <v>0</v>
      </c>
      <c r="S68" s="497">
        <f>VLOOKUP(BD68,eindejaarsuitkering_OOP,2,TRUE)*'wgl tot'!H68/12</f>
        <v>0</v>
      </c>
      <c r="T68" s="497">
        <f>ROUND('wgl tot'!H68*tabellen!$D$50,2)</f>
        <v>0</v>
      </c>
      <c r="U68" s="498">
        <f t="shared" si="17"/>
        <v>0</v>
      </c>
      <c r="V68" s="497">
        <f>('wgl tot'!L68+'wgl tot'!P68)*tabellen!$C$39*12</f>
        <v>0</v>
      </c>
      <c r="W68" s="479">
        <f t="shared" si="10"/>
        <v>0</v>
      </c>
      <c r="X68" s="467"/>
      <c r="Y68" s="498">
        <f t="shared" si="26"/>
        <v>0</v>
      </c>
      <c r="Z68" s="674">
        <f>+'wgl tot'!V68/12</f>
        <v>0</v>
      </c>
      <c r="AA68" s="467"/>
      <c r="AB68" s="497">
        <f>IF(F68="",0,(IF('wgl tot'!U68/'wgl tot'!H68&lt;tabellen!$E$6,0,('wgl tot'!U68-tabellen!$E$6*'wgl tot'!H68)/12)*tabellen!$C$6))</f>
        <v>0</v>
      </c>
      <c r="AC68" s="497">
        <f>IF(F68="",0,(IF('wgl tot'!U68/'wgl tot'!H68&lt;tabellen!$E$7,0,(+'wgl tot'!U68-tabellen!$E$7*'wgl tot'!H68)/12)*tabellen!$C$7))</f>
        <v>0</v>
      </c>
      <c r="AD68" s="497">
        <f>'wgl tot'!U68/12*tabellen!$C$8</f>
        <v>0</v>
      </c>
      <c r="AE68" s="497">
        <f>IF(H68=0,0,IF(BJ68&gt;tabellen!$G$9/12,tabellen!$G$9/12,BJ68)*(tabellen!$C$9+tabellen!$C$10))</f>
        <v>0</v>
      </c>
      <c r="AF68" s="497">
        <f>IF(F68="",0,('wgl tot'!BK68))</f>
        <v>0</v>
      </c>
      <c r="AG68" s="499">
        <f>IF(F68="",0,(IF('wgl tot'!BJ68&gt;tabellen!$G$12*'wgl tot'!H68/12,tabellen!$G$12*'wgl tot'!H68/12,'wgl tot'!BJ68)*tabellen!$C$12))</f>
        <v>0</v>
      </c>
      <c r="AH68" s="467"/>
      <c r="AI68" s="499">
        <f>IF(F68="",0,('wgl tot'!BJ68*IF(J68=1,tabellen!$C$13,IF(J68=2,tabellen!$C$14,IF(J68=3,tabellen!$C$15,tabellen!$C$16)))))</f>
        <v>0</v>
      </c>
      <c r="AJ68" s="499">
        <f>IF(F68="",0,('wgl tot'!BJ68*tabellen!$C$17))</f>
        <v>0</v>
      </c>
      <c r="AK68" s="679">
        <v>0</v>
      </c>
      <c r="AL68" s="467"/>
      <c r="AM68" s="479">
        <f t="shared" si="18"/>
        <v>0</v>
      </c>
      <c r="AN68" s="479">
        <f t="shared" si="27"/>
        <v>0</v>
      </c>
      <c r="AO68" s="467"/>
      <c r="AP68" s="503" t="str">
        <f t="shared" si="19"/>
        <v/>
      </c>
      <c r="AQ68" s="503" t="str">
        <f t="shared" si="20"/>
        <v/>
      </c>
      <c r="AR68" s="467"/>
      <c r="AS68" s="444"/>
      <c r="AT68" s="436"/>
      <c r="AU68" s="436"/>
      <c r="AV68" s="481">
        <f ca="1">YEAR('wgl tot'!$AV$9)-YEAR('wgl tot'!E68)</f>
        <v>118</v>
      </c>
      <c r="AW68" s="481">
        <f ca="1">MONTH('wgl tot'!$AV$9)-MONTH('wgl tot'!E68)</f>
        <v>8</v>
      </c>
      <c r="AX68" s="481">
        <f ca="1">DAY('wgl tot'!$AV$9)-DAY('wgl tot'!E68)</f>
        <v>21</v>
      </c>
      <c r="AY68" s="445">
        <f>IF(AND('wgl tot'!F68&gt;0,'wgl tot'!F68&lt;17),0,100)</f>
        <v>100</v>
      </c>
      <c r="AZ68" s="445">
        <f t="shared" si="21"/>
        <v>0</v>
      </c>
      <c r="BA68" s="464">
        <v>42583</v>
      </c>
      <c r="BB68" s="482">
        <f t="shared" si="15"/>
        <v>0.08</v>
      </c>
      <c r="BC68" s="483">
        <f>+tabellen!$D$44</f>
        <v>6.3E-2</v>
      </c>
      <c r="BD68" s="481">
        <f>IF('wgl tot'!AY68=100,0,'wgl tot'!F68)</f>
        <v>0</v>
      </c>
      <c r="BE68" s="483" t="str">
        <f>IF(OR('wgl tot'!F68="DA",'wgl tot'!F68="DB",'wgl tot'!F68="DBuit",'wgl tot'!F68="DC",'wgl tot'!F68="DCuit",MID('wgl tot'!F68,1,5)="meerh"),"j","n")</f>
        <v>n</v>
      </c>
      <c r="BF68" s="485" t="e">
        <f>IF('wgl tot'!U68/'wgl tot'!H68&lt;tabellen!$E$6,0,(+'wgl tot'!U68-tabellen!$E$6*'wgl tot'!H68)/12*tabellen!$D$6)</f>
        <v>#DIV/0!</v>
      </c>
      <c r="BG68" s="485" t="e">
        <f>IF('wgl tot'!U68/'wgl tot'!H68&lt;tabellen!$E$7,0,(+'wgl tot'!U68-tabellen!$E$7*'wgl tot'!H68)/12*tabellen!$D$7)</f>
        <v>#DIV/0!</v>
      </c>
      <c r="BH68" s="485">
        <f>'wgl tot'!U68/12*tabellen!$D$8</f>
        <v>0</v>
      </c>
      <c r="BI68" s="486" t="e">
        <f t="shared" si="28"/>
        <v>#DIV/0!</v>
      </c>
      <c r="BJ68" s="487" t="e">
        <f>+(U68+V68)/12-'wgl tot'!BI68</f>
        <v>#DIV/0!</v>
      </c>
      <c r="BK68" s="487" t="e">
        <f>ROUND(IF('wgl tot'!BJ68&gt;tabellen!$H$11,tabellen!$H$11,'wgl tot'!BJ68)*tabellen!$C$11,2)</f>
        <v>#DIV/0!</v>
      </c>
      <c r="BL68" s="487" t="e">
        <f>+'wgl tot'!BJ68+'wgl tot'!BK68</f>
        <v>#DIV/0!</v>
      </c>
      <c r="BM68" s="488">
        <f t="shared" si="22"/>
        <v>1900</v>
      </c>
      <c r="BN68" s="488">
        <f t="shared" si="23"/>
        <v>1</v>
      </c>
      <c r="BO68" s="481">
        <f t="shared" si="24"/>
        <v>0</v>
      </c>
      <c r="BP68" s="464">
        <f t="shared" si="29"/>
        <v>22462</v>
      </c>
      <c r="BQ68" s="464">
        <f t="shared" ca="1" si="14"/>
        <v>43364.939215393519</v>
      </c>
      <c r="BR68" s="445"/>
      <c r="BS68" s="464"/>
      <c r="BT68" s="445"/>
      <c r="BU68" s="484"/>
      <c r="BV68" s="484"/>
      <c r="BW68" s="484"/>
      <c r="BX68" s="484"/>
      <c r="BY68" s="484"/>
      <c r="BZ68" s="484"/>
      <c r="CA68" s="436"/>
      <c r="CB68" s="436"/>
    </row>
    <row r="69" spans="1:80" s="447" customFormat="1" ht="12" customHeight="1" x14ac:dyDescent="0.2">
      <c r="A69" s="436"/>
      <c r="B69" s="437"/>
      <c r="C69" s="467"/>
      <c r="D69" s="473"/>
      <c r="E69" s="474"/>
      <c r="F69" s="475"/>
      <c r="G69" s="475"/>
      <c r="H69" s="476"/>
      <c r="I69" s="475"/>
      <c r="J69" s="477"/>
      <c r="K69" s="497">
        <f>IF(F69="",0,(VLOOKUP('wgl tot'!F69,saltab2019,'wgl tot'!G69+1,FALSE)))</f>
        <v>0</v>
      </c>
      <c r="L69" s="479">
        <f t="shared" si="25"/>
        <v>0</v>
      </c>
      <c r="M69" s="467"/>
      <c r="N69" s="497">
        <f>ROUND(IF(('wgl tot'!L69+'wgl tot'!P69)*BB69&lt;'wgl tot'!H69*tabellen!$D$43,'wgl tot'!H69*tabellen!$D$43,('wgl tot'!L69+'wgl tot'!P69)*BB69),2)</f>
        <v>0</v>
      </c>
      <c r="O69" s="497">
        <f>ROUND(+('wgl tot'!L69+'wgl tot'!P69)*BC69,2)</f>
        <v>0</v>
      </c>
      <c r="P69" s="497">
        <f>ROUND(IF(I69="j",VLOOKUP(AZ69,uitlooptoeslag,2,FALSE))*IF('wgl tot'!H69&gt;1,1,'wgl tot'!H69),2)</f>
        <v>0</v>
      </c>
      <c r="Q69" s="497">
        <f>ROUND(IF(BE69="j",tabellen!$D$52*IF('wgl tot'!H69&gt;1,1,'wgl tot'!H69),0),2)</f>
        <v>0</v>
      </c>
      <c r="R69" s="497">
        <f>IF(AND(F69&gt;0,F69&lt;17),tabellen!$C$37*'wgl tot'!H69,0)</f>
        <v>0</v>
      </c>
      <c r="S69" s="497">
        <f>VLOOKUP(BD69,eindejaarsuitkering_OOP,2,TRUE)*'wgl tot'!H69/12</f>
        <v>0</v>
      </c>
      <c r="T69" s="497">
        <f>ROUND('wgl tot'!H69*tabellen!$D$50,2)</f>
        <v>0</v>
      </c>
      <c r="U69" s="498">
        <f t="shared" si="17"/>
        <v>0</v>
      </c>
      <c r="V69" s="497">
        <f>('wgl tot'!L69+'wgl tot'!P69)*tabellen!$C$39*12</f>
        <v>0</v>
      </c>
      <c r="W69" s="479">
        <f t="shared" si="10"/>
        <v>0</v>
      </c>
      <c r="X69" s="467"/>
      <c r="Y69" s="498">
        <f t="shared" si="26"/>
        <v>0</v>
      </c>
      <c r="Z69" s="674">
        <f>+'wgl tot'!V69/12</f>
        <v>0</v>
      </c>
      <c r="AA69" s="467"/>
      <c r="AB69" s="497">
        <f>IF(F69="",0,(IF('wgl tot'!U69/'wgl tot'!H69&lt;tabellen!$E$6,0,('wgl tot'!U69-tabellen!$E$6*'wgl tot'!H69)/12)*tabellen!$C$6))</f>
        <v>0</v>
      </c>
      <c r="AC69" s="497">
        <f>IF(F69="",0,(IF('wgl tot'!U69/'wgl tot'!H69&lt;tabellen!$E$7,0,(+'wgl tot'!U69-tabellen!$E$7*'wgl tot'!H69)/12)*tabellen!$C$7))</f>
        <v>0</v>
      </c>
      <c r="AD69" s="497">
        <f>'wgl tot'!U69/12*tabellen!$C$8</f>
        <v>0</v>
      </c>
      <c r="AE69" s="497">
        <f>IF(H69=0,0,IF(BJ69&gt;tabellen!$G$9/12,tabellen!$G$9/12,BJ69)*(tabellen!$C$9+tabellen!$C$10))</f>
        <v>0</v>
      </c>
      <c r="AF69" s="497">
        <f>IF(F69="",0,('wgl tot'!BK69))</f>
        <v>0</v>
      </c>
      <c r="AG69" s="499">
        <f>IF(F69="",0,(IF('wgl tot'!BJ69&gt;tabellen!$G$12*'wgl tot'!H69/12,tabellen!$G$12*'wgl tot'!H69/12,'wgl tot'!BJ69)*tabellen!$C$12))</f>
        <v>0</v>
      </c>
      <c r="AH69" s="467"/>
      <c r="AI69" s="499">
        <f>IF(F69="",0,('wgl tot'!BJ69*IF(J69=1,tabellen!$C$13,IF(J69=2,tabellen!$C$14,IF(J69=3,tabellen!$C$15,tabellen!$C$16)))))</f>
        <v>0</v>
      </c>
      <c r="AJ69" s="499">
        <f>IF(F69="",0,('wgl tot'!BJ69*tabellen!$C$17))</f>
        <v>0</v>
      </c>
      <c r="AK69" s="679">
        <v>0</v>
      </c>
      <c r="AL69" s="467"/>
      <c r="AM69" s="479">
        <f t="shared" si="18"/>
        <v>0</v>
      </c>
      <c r="AN69" s="479">
        <f t="shared" si="27"/>
        <v>0</v>
      </c>
      <c r="AO69" s="467"/>
      <c r="AP69" s="503" t="str">
        <f t="shared" si="19"/>
        <v/>
      </c>
      <c r="AQ69" s="503" t="str">
        <f t="shared" si="20"/>
        <v/>
      </c>
      <c r="AR69" s="467"/>
      <c r="AS69" s="444"/>
      <c r="AT69" s="436"/>
      <c r="AU69" s="436"/>
      <c r="AV69" s="481">
        <f ca="1">YEAR('wgl tot'!$AV$9)-YEAR('wgl tot'!E69)</f>
        <v>118</v>
      </c>
      <c r="AW69" s="481">
        <f ca="1">MONTH('wgl tot'!$AV$9)-MONTH('wgl tot'!E69)</f>
        <v>8</v>
      </c>
      <c r="AX69" s="481">
        <f ca="1">DAY('wgl tot'!$AV$9)-DAY('wgl tot'!E69)</f>
        <v>21</v>
      </c>
      <c r="AY69" s="445">
        <f>IF(AND('wgl tot'!F69&gt;0,'wgl tot'!F69&lt;17),0,100)</f>
        <v>100</v>
      </c>
      <c r="AZ69" s="445">
        <f t="shared" si="21"/>
        <v>0</v>
      </c>
      <c r="BA69" s="464">
        <v>42583</v>
      </c>
      <c r="BB69" s="482">
        <f t="shared" si="15"/>
        <v>0.08</v>
      </c>
      <c r="BC69" s="483">
        <f>+tabellen!$D$44</f>
        <v>6.3E-2</v>
      </c>
      <c r="BD69" s="481">
        <f>IF('wgl tot'!AY69=100,0,'wgl tot'!F69)</f>
        <v>0</v>
      </c>
      <c r="BE69" s="483" t="str">
        <f>IF(OR('wgl tot'!F69="DA",'wgl tot'!F69="DB",'wgl tot'!F69="DBuit",'wgl tot'!F69="DC",'wgl tot'!F69="DCuit",MID('wgl tot'!F69,1,5)="meerh"),"j","n")</f>
        <v>n</v>
      </c>
      <c r="BF69" s="485" t="e">
        <f>IF('wgl tot'!U69/'wgl tot'!H69&lt;tabellen!$E$6,0,(+'wgl tot'!U69-tabellen!$E$6*'wgl tot'!H69)/12*tabellen!$D$6)</f>
        <v>#DIV/0!</v>
      </c>
      <c r="BG69" s="485" t="e">
        <f>IF('wgl tot'!U69/'wgl tot'!H69&lt;tabellen!$E$7,0,(+'wgl tot'!U69-tabellen!$E$7*'wgl tot'!H69)/12*tabellen!$D$7)</f>
        <v>#DIV/0!</v>
      </c>
      <c r="BH69" s="485">
        <f>'wgl tot'!U69/12*tabellen!$D$8</f>
        <v>0</v>
      </c>
      <c r="BI69" s="486" t="e">
        <f t="shared" si="28"/>
        <v>#DIV/0!</v>
      </c>
      <c r="BJ69" s="487" t="e">
        <f>+(U69+V69)/12-'wgl tot'!BI69</f>
        <v>#DIV/0!</v>
      </c>
      <c r="BK69" s="487" t="e">
        <f>ROUND(IF('wgl tot'!BJ69&gt;tabellen!$H$11,tabellen!$H$11,'wgl tot'!BJ69)*tabellen!$C$11,2)</f>
        <v>#DIV/0!</v>
      </c>
      <c r="BL69" s="487" t="e">
        <f>+'wgl tot'!BJ69+'wgl tot'!BK69</f>
        <v>#DIV/0!</v>
      </c>
      <c r="BM69" s="488">
        <f t="shared" si="22"/>
        <v>1900</v>
      </c>
      <c r="BN69" s="488">
        <f t="shared" si="23"/>
        <v>1</v>
      </c>
      <c r="BO69" s="481">
        <f t="shared" si="24"/>
        <v>0</v>
      </c>
      <c r="BP69" s="464">
        <f t="shared" si="29"/>
        <v>22462</v>
      </c>
      <c r="BQ69" s="464">
        <f t="shared" ca="1" si="14"/>
        <v>43364.939215393519</v>
      </c>
      <c r="BR69" s="445"/>
      <c r="BS69" s="464"/>
      <c r="BT69" s="445"/>
      <c r="BU69" s="484"/>
      <c r="BV69" s="484"/>
      <c r="BW69" s="484"/>
      <c r="BX69" s="484"/>
      <c r="BY69" s="484"/>
      <c r="BZ69" s="484"/>
      <c r="CA69" s="436"/>
      <c r="CB69" s="436"/>
    </row>
    <row r="70" spans="1:80" s="447" customFormat="1" ht="12" customHeight="1" x14ac:dyDescent="0.2">
      <c r="A70" s="436"/>
      <c r="B70" s="437"/>
      <c r="C70" s="467"/>
      <c r="D70" s="473"/>
      <c r="E70" s="474"/>
      <c r="F70" s="475"/>
      <c r="G70" s="475"/>
      <c r="H70" s="476"/>
      <c r="I70" s="475"/>
      <c r="J70" s="477"/>
      <c r="K70" s="497">
        <f>IF(F70="",0,(VLOOKUP('wgl tot'!F70,saltab2019,'wgl tot'!G70+1,FALSE)))</f>
        <v>0</v>
      </c>
      <c r="L70" s="479">
        <f t="shared" si="25"/>
        <v>0</v>
      </c>
      <c r="M70" s="467"/>
      <c r="N70" s="497">
        <f>ROUND(IF(('wgl tot'!L70+'wgl tot'!P70)*BB70&lt;'wgl tot'!H70*tabellen!$D$43,'wgl tot'!H70*tabellen!$D$43,('wgl tot'!L70+'wgl tot'!P70)*BB70),2)</f>
        <v>0</v>
      </c>
      <c r="O70" s="497">
        <f>ROUND(+('wgl tot'!L70+'wgl tot'!P70)*BC70,2)</f>
        <v>0</v>
      </c>
      <c r="P70" s="497">
        <f>ROUND(IF(I70="j",VLOOKUP(AZ70,uitlooptoeslag,2,FALSE))*IF('wgl tot'!H70&gt;1,1,'wgl tot'!H70),2)</f>
        <v>0</v>
      </c>
      <c r="Q70" s="497">
        <f>ROUND(IF(BE70="j",tabellen!$D$52*IF('wgl tot'!H70&gt;1,1,'wgl tot'!H70),0),2)</f>
        <v>0</v>
      </c>
      <c r="R70" s="497">
        <f>IF(AND(F70&gt;0,F70&lt;17),tabellen!$C$37*'wgl tot'!H70,0)</f>
        <v>0</v>
      </c>
      <c r="S70" s="497">
        <f>VLOOKUP(BD70,eindejaarsuitkering_OOP,2,TRUE)*'wgl tot'!H70/12</f>
        <v>0</v>
      </c>
      <c r="T70" s="497">
        <f>ROUND('wgl tot'!H70*tabellen!$D$50,2)</f>
        <v>0</v>
      </c>
      <c r="U70" s="498">
        <f t="shared" si="17"/>
        <v>0</v>
      </c>
      <c r="V70" s="497">
        <f>('wgl tot'!L70+'wgl tot'!P70)*tabellen!$C$39*12</f>
        <v>0</v>
      </c>
      <c r="W70" s="479">
        <f t="shared" si="10"/>
        <v>0</v>
      </c>
      <c r="X70" s="467"/>
      <c r="Y70" s="498">
        <f t="shared" si="26"/>
        <v>0</v>
      </c>
      <c r="Z70" s="674">
        <f>+'wgl tot'!V70/12</f>
        <v>0</v>
      </c>
      <c r="AA70" s="467"/>
      <c r="AB70" s="497">
        <f>IF(F70="",0,(IF('wgl tot'!U70/'wgl tot'!H70&lt;tabellen!$E$6,0,('wgl tot'!U70-tabellen!$E$6*'wgl tot'!H70)/12)*tabellen!$C$6))</f>
        <v>0</v>
      </c>
      <c r="AC70" s="497">
        <f>IF(F70="",0,(IF('wgl tot'!U70/'wgl tot'!H70&lt;tabellen!$E$7,0,(+'wgl tot'!U70-tabellen!$E$7*'wgl tot'!H70)/12)*tabellen!$C$7))</f>
        <v>0</v>
      </c>
      <c r="AD70" s="497">
        <f>'wgl tot'!U70/12*tabellen!$C$8</f>
        <v>0</v>
      </c>
      <c r="AE70" s="497">
        <f>IF(H70=0,0,IF(BJ70&gt;tabellen!$G$9/12,tabellen!$G$9/12,BJ70)*(tabellen!$C$9+tabellen!$C$10))</f>
        <v>0</v>
      </c>
      <c r="AF70" s="497">
        <f>IF(F70="",0,('wgl tot'!BK70))</f>
        <v>0</v>
      </c>
      <c r="AG70" s="499">
        <f>IF(F70="",0,(IF('wgl tot'!BJ70&gt;tabellen!$G$12*'wgl tot'!H70/12,tabellen!$G$12*'wgl tot'!H70/12,'wgl tot'!BJ70)*tabellen!$C$12))</f>
        <v>0</v>
      </c>
      <c r="AH70" s="467"/>
      <c r="AI70" s="499">
        <f>IF(F70="",0,('wgl tot'!BJ70*IF(J70=1,tabellen!$C$13,IF(J70=2,tabellen!$C$14,IF(J70=3,tabellen!$C$15,tabellen!$C$16)))))</f>
        <v>0</v>
      </c>
      <c r="AJ70" s="499">
        <f>IF(F70="",0,('wgl tot'!BJ70*tabellen!$C$17))</f>
        <v>0</v>
      </c>
      <c r="AK70" s="679">
        <v>0</v>
      </c>
      <c r="AL70" s="467"/>
      <c r="AM70" s="479">
        <f t="shared" si="18"/>
        <v>0</v>
      </c>
      <c r="AN70" s="479">
        <f t="shared" si="27"/>
        <v>0</v>
      </c>
      <c r="AO70" s="467"/>
      <c r="AP70" s="503" t="str">
        <f t="shared" si="19"/>
        <v/>
      </c>
      <c r="AQ70" s="503" t="str">
        <f t="shared" si="20"/>
        <v/>
      </c>
      <c r="AR70" s="467"/>
      <c r="AS70" s="444"/>
      <c r="AT70" s="436"/>
      <c r="AU70" s="436"/>
      <c r="AV70" s="481">
        <f ca="1">YEAR('wgl tot'!$AV$9)-YEAR('wgl tot'!E70)</f>
        <v>118</v>
      </c>
      <c r="AW70" s="481">
        <f ca="1">MONTH('wgl tot'!$AV$9)-MONTH('wgl tot'!E70)</f>
        <v>8</v>
      </c>
      <c r="AX70" s="481">
        <f ca="1">DAY('wgl tot'!$AV$9)-DAY('wgl tot'!E70)</f>
        <v>21</v>
      </c>
      <c r="AY70" s="445">
        <f>IF(AND('wgl tot'!F70&gt;0,'wgl tot'!F70&lt;17),0,100)</f>
        <v>100</v>
      </c>
      <c r="AZ70" s="445">
        <f t="shared" si="21"/>
        <v>0</v>
      </c>
      <c r="BA70" s="464">
        <v>42583</v>
      </c>
      <c r="BB70" s="482">
        <f t="shared" si="15"/>
        <v>0.08</v>
      </c>
      <c r="BC70" s="483">
        <f>+tabellen!$D$44</f>
        <v>6.3E-2</v>
      </c>
      <c r="BD70" s="481">
        <f>IF('wgl tot'!AY70=100,0,'wgl tot'!F70)</f>
        <v>0</v>
      </c>
      <c r="BE70" s="483" t="str">
        <f>IF(OR('wgl tot'!F70="DA",'wgl tot'!F70="DB",'wgl tot'!F70="DBuit",'wgl tot'!F70="DC",'wgl tot'!F70="DCuit",MID('wgl tot'!F70,1,5)="meerh"),"j","n")</f>
        <v>n</v>
      </c>
      <c r="BF70" s="485" t="e">
        <f>IF('wgl tot'!U70/'wgl tot'!H70&lt;tabellen!$E$6,0,(+'wgl tot'!U70-tabellen!$E$6*'wgl tot'!H70)/12*tabellen!$D$6)</f>
        <v>#DIV/0!</v>
      </c>
      <c r="BG70" s="485" t="e">
        <f>IF('wgl tot'!U70/'wgl tot'!H70&lt;tabellen!$E$7,0,(+'wgl tot'!U70-tabellen!$E$7*'wgl tot'!H70)/12*tabellen!$D$7)</f>
        <v>#DIV/0!</v>
      </c>
      <c r="BH70" s="485">
        <f>'wgl tot'!U70/12*tabellen!$D$8</f>
        <v>0</v>
      </c>
      <c r="BI70" s="486" t="e">
        <f t="shared" si="28"/>
        <v>#DIV/0!</v>
      </c>
      <c r="BJ70" s="487" t="e">
        <f>+(U70+V70)/12-'wgl tot'!BI70</f>
        <v>#DIV/0!</v>
      </c>
      <c r="BK70" s="487" t="e">
        <f>ROUND(IF('wgl tot'!BJ70&gt;tabellen!$H$11,tabellen!$H$11,'wgl tot'!BJ70)*tabellen!$C$11,2)</f>
        <v>#DIV/0!</v>
      </c>
      <c r="BL70" s="487" t="e">
        <f>+'wgl tot'!BJ70+'wgl tot'!BK70</f>
        <v>#DIV/0!</v>
      </c>
      <c r="BM70" s="488">
        <f t="shared" si="22"/>
        <v>1900</v>
      </c>
      <c r="BN70" s="488">
        <f t="shared" si="23"/>
        <v>1</v>
      </c>
      <c r="BO70" s="481">
        <f t="shared" si="24"/>
        <v>0</v>
      </c>
      <c r="BP70" s="464">
        <f t="shared" si="29"/>
        <v>22462</v>
      </c>
      <c r="BQ70" s="464">
        <f t="shared" ca="1" si="14"/>
        <v>43364.939215393519</v>
      </c>
      <c r="BR70" s="445"/>
      <c r="BS70" s="464"/>
      <c r="BT70" s="445"/>
      <c r="BU70" s="484"/>
      <c r="BV70" s="484"/>
      <c r="BW70" s="484"/>
      <c r="BX70" s="484"/>
      <c r="BY70" s="484"/>
      <c r="BZ70" s="484"/>
      <c r="CA70" s="436"/>
      <c r="CB70" s="436"/>
    </row>
    <row r="71" spans="1:80" s="447" customFormat="1" ht="12" customHeight="1" x14ac:dyDescent="0.2">
      <c r="A71" s="436"/>
      <c r="B71" s="437"/>
      <c r="C71" s="467"/>
      <c r="D71" s="473"/>
      <c r="E71" s="474"/>
      <c r="F71" s="475"/>
      <c r="G71" s="475"/>
      <c r="H71" s="476"/>
      <c r="I71" s="475"/>
      <c r="J71" s="477"/>
      <c r="K71" s="497">
        <f>IF(F71="",0,(VLOOKUP('wgl tot'!F71,saltab2019,'wgl tot'!G71+1,FALSE)))</f>
        <v>0</v>
      </c>
      <c r="L71" s="479">
        <f t="shared" ref="L71:L86" si="30">K71*H71</f>
        <v>0</v>
      </c>
      <c r="M71" s="467"/>
      <c r="N71" s="497">
        <f>ROUND(IF(('wgl tot'!L71+'wgl tot'!P71)*BB71&lt;'wgl tot'!H71*tabellen!$D$43,'wgl tot'!H71*tabellen!$D$43,('wgl tot'!L71+'wgl tot'!P71)*BB71),2)</f>
        <v>0</v>
      </c>
      <c r="O71" s="497">
        <f>ROUND(+('wgl tot'!L71+'wgl tot'!P71)*BC71,2)</f>
        <v>0</v>
      </c>
      <c r="P71" s="497">
        <f>ROUND(IF(I71="j",VLOOKUP(AZ71,uitlooptoeslag,2,FALSE))*IF('wgl tot'!H71&gt;1,1,'wgl tot'!H71),2)</f>
        <v>0</v>
      </c>
      <c r="Q71" s="497">
        <f>ROUND(IF(BE71="j",tabellen!$D$52*IF('wgl tot'!H71&gt;1,1,'wgl tot'!H71),0),2)</f>
        <v>0</v>
      </c>
      <c r="R71" s="497">
        <f>IF(AND(F71&gt;0,F71&lt;17),tabellen!$C$37*'wgl tot'!H71,0)</f>
        <v>0</v>
      </c>
      <c r="S71" s="497">
        <f>VLOOKUP(BD71,eindejaarsuitkering_OOP,2,TRUE)*'wgl tot'!H71/12</f>
        <v>0</v>
      </c>
      <c r="T71" s="497">
        <f>ROUND('wgl tot'!H71*tabellen!$D$50,2)</f>
        <v>0</v>
      </c>
      <c r="U71" s="498">
        <f t="shared" si="17"/>
        <v>0</v>
      </c>
      <c r="V71" s="497">
        <f>('wgl tot'!L71+'wgl tot'!P71)*tabellen!$C$39*12</f>
        <v>0</v>
      </c>
      <c r="W71" s="479">
        <f t="shared" si="10"/>
        <v>0</v>
      </c>
      <c r="X71" s="467"/>
      <c r="Y71" s="498">
        <f t="shared" si="11"/>
        <v>0</v>
      </c>
      <c r="Z71" s="674">
        <f>+'wgl tot'!V71/12</f>
        <v>0</v>
      </c>
      <c r="AA71" s="467"/>
      <c r="AB71" s="497">
        <f>IF(F71="",0,(IF('wgl tot'!U71/'wgl tot'!H71&lt;tabellen!$E$6,0,('wgl tot'!U71-tabellen!$E$6*'wgl tot'!H71)/12)*tabellen!$C$6))</f>
        <v>0</v>
      </c>
      <c r="AC71" s="497">
        <f>IF(F71="",0,(IF('wgl tot'!U71/'wgl tot'!H71&lt;tabellen!$E$7,0,(+'wgl tot'!U71-tabellen!$E$7*'wgl tot'!H71)/12)*tabellen!$C$7))</f>
        <v>0</v>
      </c>
      <c r="AD71" s="497">
        <f>'wgl tot'!U71/12*tabellen!$C$8</f>
        <v>0</v>
      </c>
      <c r="AE71" s="497">
        <f>IF(H71=0,0,IF(BJ71&gt;tabellen!$G$9/12,tabellen!$G$9/12,BJ71)*(tabellen!$C$9+tabellen!$C$10))</f>
        <v>0</v>
      </c>
      <c r="AF71" s="497">
        <f>IF(F71="",0,('wgl tot'!BK71))</f>
        <v>0</v>
      </c>
      <c r="AG71" s="499">
        <f>IF(F71="",0,(IF('wgl tot'!BJ71&gt;tabellen!$G$12*'wgl tot'!H71/12,tabellen!$G$12*'wgl tot'!H71/12,'wgl tot'!BJ71)*tabellen!$C$12))</f>
        <v>0</v>
      </c>
      <c r="AH71" s="467"/>
      <c r="AI71" s="499">
        <f>IF(F71="",0,('wgl tot'!BJ71*IF(J71=1,tabellen!$C$13,IF(J71=2,tabellen!$C$14,IF(J71=3,tabellen!$C$15,tabellen!$C$16)))))</f>
        <v>0</v>
      </c>
      <c r="AJ71" s="499">
        <f>IF(F71="",0,('wgl tot'!BJ71*tabellen!$C$17))</f>
        <v>0</v>
      </c>
      <c r="AK71" s="679">
        <v>0</v>
      </c>
      <c r="AL71" s="467"/>
      <c r="AM71" s="479">
        <f t="shared" si="18"/>
        <v>0</v>
      </c>
      <c r="AN71" s="479">
        <f t="shared" si="12"/>
        <v>0</v>
      </c>
      <c r="AO71" s="467"/>
      <c r="AP71" s="503" t="str">
        <f t="shared" si="19"/>
        <v/>
      </c>
      <c r="AQ71" s="503" t="str">
        <f t="shared" si="20"/>
        <v/>
      </c>
      <c r="AR71" s="467"/>
      <c r="AS71" s="444"/>
      <c r="AT71" s="436"/>
      <c r="AU71" s="436"/>
      <c r="AV71" s="481">
        <f ca="1">YEAR('wgl tot'!$AV$9)-YEAR('wgl tot'!E71)</f>
        <v>118</v>
      </c>
      <c r="AW71" s="481">
        <f ca="1">MONTH('wgl tot'!$AV$9)-MONTH('wgl tot'!E71)</f>
        <v>8</v>
      </c>
      <c r="AX71" s="481">
        <f ca="1">DAY('wgl tot'!$AV$9)-DAY('wgl tot'!E71)</f>
        <v>21</v>
      </c>
      <c r="AY71" s="445">
        <f>IF(AND('wgl tot'!F71&gt;0,'wgl tot'!F71&lt;17),0,100)</f>
        <v>100</v>
      </c>
      <c r="AZ71" s="445">
        <f t="shared" si="21"/>
        <v>0</v>
      </c>
      <c r="BA71" s="464">
        <v>42583</v>
      </c>
      <c r="BB71" s="482">
        <f t="shared" si="15"/>
        <v>0.08</v>
      </c>
      <c r="BC71" s="483">
        <f>+tabellen!$D$44</f>
        <v>6.3E-2</v>
      </c>
      <c r="BD71" s="481">
        <f>IF('wgl tot'!AY71=100,0,'wgl tot'!F71)</f>
        <v>0</v>
      </c>
      <c r="BE71" s="483" t="str">
        <f>IF(OR('wgl tot'!F71="DA",'wgl tot'!F71="DB",'wgl tot'!F71="DBuit",'wgl tot'!F71="DC",'wgl tot'!F71="DCuit",MID('wgl tot'!F71,1,5)="meerh"),"j","n")</f>
        <v>n</v>
      </c>
      <c r="BF71" s="485" t="e">
        <f>IF('wgl tot'!U71/'wgl tot'!H71&lt;tabellen!$E$6,0,(+'wgl tot'!U71-tabellen!$E$6*'wgl tot'!H71)/12*tabellen!$D$6)</f>
        <v>#DIV/0!</v>
      </c>
      <c r="BG71" s="485" t="e">
        <f>IF('wgl tot'!U71/'wgl tot'!H71&lt;tabellen!$E$7,0,(+'wgl tot'!U71-tabellen!$E$7*'wgl tot'!H71)/12*tabellen!$D$7)</f>
        <v>#DIV/0!</v>
      </c>
      <c r="BH71" s="485">
        <f>'wgl tot'!U71/12*tabellen!$D$8</f>
        <v>0</v>
      </c>
      <c r="BI71" s="486" t="e">
        <f t="shared" si="16"/>
        <v>#DIV/0!</v>
      </c>
      <c r="BJ71" s="487" t="e">
        <f>+(U71+V71)/12-'wgl tot'!BI71</f>
        <v>#DIV/0!</v>
      </c>
      <c r="BK71" s="487" t="e">
        <f>ROUND(IF('wgl tot'!BJ71&gt;tabellen!$H$11,tabellen!$H$11,'wgl tot'!BJ71)*tabellen!$C$11,2)</f>
        <v>#DIV/0!</v>
      </c>
      <c r="BL71" s="487" t="e">
        <f>+'wgl tot'!BJ71+'wgl tot'!BK71</f>
        <v>#DIV/0!</v>
      </c>
      <c r="BM71" s="488">
        <f t="shared" si="22"/>
        <v>1900</v>
      </c>
      <c r="BN71" s="488">
        <f t="shared" si="23"/>
        <v>1</v>
      </c>
      <c r="BO71" s="481">
        <f t="shared" si="24"/>
        <v>0</v>
      </c>
      <c r="BP71" s="464">
        <f t="shared" si="13"/>
        <v>22462</v>
      </c>
      <c r="BQ71" s="464">
        <f t="shared" ca="1" si="14"/>
        <v>43364.939215393519</v>
      </c>
      <c r="BR71" s="445"/>
      <c r="BS71" s="464"/>
      <c r="BT71" s="445"/>
      <c r="BU71" s="484"/>
      <c r="BV71" s="484"/>
      <c r="BW71" s="484"/>
      <c r="BX71" s="484"/>
      <c r="BY71" s="484"/>
      <c r="BZ71" s="484"/>
      <c r="CA71" s="436"/>
      <c r="CB71" s="436"/>
    </row>
    <row r="72" spans="1:80" s="447" customFormat="1" ht="12" customHeight="1" x14ac:dyDescent="0.2">
      <c r="A72" s="436"/>
      <c r="B72" s="437"/>
      <c r="C72" s="467"/>
      <c r="D72" s="473"/>
      <c r="E72" s="474"/>
      <c r="F72" s="475"/>
      <c r="G72" s="475"/>
      <c r="H72" s="476"/>
      <c r="I72" s="475"/>
      <c r="J72" s="477"/>
      <c r="K72" s="497">
        <f>IF(F72="",0,(VLOOKUP('wgl tot'!F72,saltab2019,'wgl tot'!G72+1,FALSE)))</f>
        <v>0</v>
      </c>
      <c r="L72" s="479">
        <f t="shared" si="30"/>
        <v>0</v>
      </c>
      <c r="M72" s="467"/>
      <c r="N72" s="497">
        <f>ROUND(IF(('wgl tot'!L72+'wgl tot'!P72)*BB72&lt;'wgl tot'!H72*tabellen!$D$43,'wgl tot'!H72*tabellen!$D$43,('wgl tot'!L72+'wgl tot'!P72)*BB72),2)</f>
        <v>0</v>
      </c>
      <c r="O72" s="497">
        <f>ROUND(+('wgl tot'!L72+'wgl tot'!P72)*BC72,2)</f>
        <v>0</v>
      </c>
      <c r="P72" s="497">
        <f>ROUND(IF(I72="j",VLOOKUP(AZ72,uitlooptoeslag,2,FALSE))*IF('wgl tot'!H72&gt;1,1,'wgl tot'!H72),2)</f>
        <v>0</v>
      </c>
      <c r="Q72" s="497">
        <f>ROUND(IF(BE72="j",tabellen!$D$52*IF('wgl tot'!H72&gt;1,1,'wgl tot'!H72),0),2)</f>
        <v>0</v>
      </c>
      <c r="R72" s="497">
        <f>IF(AND(F72&gt;0,F72&lt;17),tabellen!$C$37*'wgl tot'!H72,0)</f>
        <v>0</v>
      </c>
      <c r="S72" s="497">
        <f>VLOOKUP(BD72,eindejaarsuitkering_OOP,2,TRUE)*'wgl tot'!H72/12</f>
        <v>0</v>
      </c>
      <c r="T72" s="497">
        <f>ROUND('wgl tot'!H72*tabellen!$D$50,2)</f>
        <v>0</v>
      </c>
      <c r="U72" s="498">
        <f t="shared" si="17"/>
        <v>0</v>
      </c>
      <c r="V72" s="497">
        <f>('wgl tot'!L72+'wgl tot'!P72)*tabellen!$C$39*12</f>
        <v>0</v>
      </c>
      <c r="W72" s="479">
        <f t="shared" si="10"/>
        <v>0</v>
      </c>
      <c r="X72" s="467"/>
      <c r="Y72" s="498">
        <f t="shared" si="11"/>
        <v>0</v>
      </c>
      <c r="Z72" s="674">
        <f>+'wgl tot'!V72/12</f>
        <v>0</v>
      </c>
      <c r="AA72" s="467"/>
      <c r="AB72" s="497">
        <f>IF(F72="",0,(IF('wgl tot'!U72/'wgl tot'!H72&lt;tabellen!$E$6,0,('wgl tot'!U72-tabellen!$E$6*'wgl tot'!H72)/12)*tabellen!$C$6))</f>
        <v>0</v>
      </c>
      <c r="AC72" s="497">
        <f>IF(F72="",0,(IF('wgl tot'!U72/'wgl tot'!H72&lt;tabellen!$E$7,0,(+'wgl tot'!U72-tabellen!$E$7*'wgl tot'!H72)/12)*tabellen!$C$7))</f>
        <v>0</v>
      </c>
      <c r="AD72" s="497">
        <f>'wgl tot'!U72/12*tabellen!$C$8</f>
        <v>0</v>
      </c>
      <c r="AE72" s="497">
        <f>IF(H72=0,0,IF(BJ72&gt;tabellen!$G$9/12,tabellen!$G$9/12,BJ72)*(tabellen!$C$9+tabellen!$C$10))</f>
        <v>0</v>
      </c>
      <c r="AF72" s="497">
        <f>IF(F72="",0,('wgl tot'!BK72))</f>
        <v>0</v>
      </c>
      <c r="AG72" s="499">
        <f>IF(F72="",0,(IF('wgl tot'!BJ72&gt;tabellen!$G$12*'wgl tot'!H72/12,tabellen!$G$12*'wgl tot'!H72/12,'wgl tot'!BJ72)*tabellen!$C$12))</f>
        <v>0</v>
      </c>
      <c r="AH72" s="467"/>
      <c r="AI72" s="499">
        <f>IF(F72="",0,('wgl tot'!BJ72*IF(J72=1,tabellen!$C$13,IF(J72=2,tabellen!$C$14,IF(J72=3,tabellen!$C$15,tabellen!$C$16)))))</f>
        <v>0</v>
      </c>
      <c r="AJ72" s="499">
        <f>IF(F72="",0,('wgl tot'!BJ72*tabellen!$C$17))</f>
        <v>0</v>
      </c>
      <c r="AK72" s="679">
        <v>0</v>
      </c>
      <c r="AL72" s="467"/>
      <c r="AM72" s="479">
        <f t="shared" si="18"/>
        <v>0</v>
      </c>
      <c r="AN72" s="479">
        <f t="shared" si="12"/>
        <v>0</v>
      </c>
      <c r="AO72" s="467"/>
      <c r="AP72" s="503" t="str">
        <f t="shared" si="19"/>
        <v/>
      </c>
      <c r="AQ72" s="503" t="str">
        <f t="shared" si="20"/>
        <v/>
      </c>
      <c r="AR72" s="467"/>
      <c r="AS72" s="444"/>
      <c r="AT72" s="436"/>
      <c r="AU72" s="436"/>
      <c r="AV72" s="481">
        <f ca="1">YEAR('wgl tot'!$AV$9)-YEAR('wgl tot'!E72)</f>
        <v>118</v>
      </c>
      <c r="AW72" s="481">
        <f ca="1">MONTH('wgl tot'!$AV$9)-MONTH('wgl tot'!E72)</f>
        <v>8</v>
      </c>
      <c r="AX72" s="481">
        <f ca="1">DAY('wgl tot'!$AV$9)-DAY('wgl tot'!E72)</f>
        <v>21</v>
      </c>
      <c r="AY72" s="445">
        <f>IF(AND('wgl tot'!F72&gt;0,'wgl tot'!F72&lt;17),0,100)</f>
        <v>100</v>
      </c>
      <c r="AZ72" s="445">
        <f t="shared" si="21"/>
        <v>0</v>
      </c>
      <c r="BA72" s="464">
        <v>42583</v>
      </c>
      <c r="BB72" s="482">
        <f t="shared" si="15"/>
        <v>0.08</v>
      </c>
      <c r="BC72" s="483">
        <f>+tabellen!$D$44</f>
        <v>6.3E-2</v>
      </c>
      <c r="BD72" s="481">
        <f>IF('wgl tot'!AY72=100,0,'wgl tot'!F72)</f>
        <v>0</v>
      </c>
      <c r="BE72" s="483" t="str">
        <f>IF(OR('wgl tot'!F72="DA",'wgl tot'!F72="DB",'wgl tot'!F72="DBuit",'wgl tot'!F72="DC",'wgl tot'!F72="DCuit",MID('wgl tot'!F72,1,5)="meerh"),"j","n")</f>
        <v>n</v>
      </c>
      <c r="BF72" s="485" t="e">
        <f>IF('wgl tot'!U72/'wgl tot'!H72&lt;tabellen!$E$6,0,(+'wgl tot'!U72-tabellen!$E$6*'wgl tot'!H72)/12*tabellen!$D$6)</f>
        <v>#DIV/0!</v>
      </c>
      <c r="BG72" s="485" t="e">
        <f>IF('wgl tot'!U72/'wgl tot'!H72&lt;tabellen!$E$7,0,(+'wgl tot'!U72-tabellen!$E$7*'wgl tot'!H72)/12*tabellen!$D$7)</f>
        <v>#DIV/0!</v>
      </c>
      <c r="BH72" s="485">
        <f>'wgl tot'!U72/12*tabellen!$D$8</f>
        <v>0</v>
      </c>
      <c r="BI72" s="486" t="e">
        <f t="shared" si="16"/>
        <v>#DIV/0!</v>
      </c>
      <c r="BJ72" s="487" t="e">
        <f>+(U72+V72)/12-'wgl tot'!BI72</f>
        <v>#DIV/0!</v>
      </c>
      <c r="BK72" s="487" t="e">
        <f>ROUND(IF('wgl tot'!BJ72&gt;tabellen!$H$11,tabellen!$H$11,'wgl tot'!BJ72)*tabellen!$C$11,2)</f>
        <v>#DIV/0!</v>
      </c>
      <c r="BL72" s="487" t="e">
        <f>+'wgl tot'!BJ72+'wgl tot'!BK72</f>
        <v>#DIV/0!</v>
      </c>
      <c r="BM72" s="488">
        <f t="shared" si="22"/>
        <v>1900</v>
      </c>
      <c r="BN72" s="488">
        <f t="shared" si="23"/>
        <v>1</v>
      </c>
      <c r="BO72" s="481">
        <f t="shared" si="24"/>
        <v>0</v>
      </c>
      <c r="BP72" s="464">
        <f t="shared" si="13"/>
        <v>22462</v>
      </c>
      <c r="BQ72" s="464">
        <f t="shared" ca="1" si="14"/>
        <v>43364.939215393519</v>
      </c>
      <c r="BR72" s="445"/>
      <c r="BS72" s="464"/>
      <c r="BT72" s="445"/>
      <c r="BU72" s="484"/>
      <c r="BV72" s="484"/>
      <c r="BW72" s="484"/>
      <c r="BX72" s="484"/>
      <c r="BY72" s="484"/>
      <c r="BZ72" s="484"/>
      <c r="CA72" s="436"/>
      <c r="CB72" s="436"/>
    </row>
    <row r="73" spans="1:80" s="447" customFormat="1" ht="12" customHeight="1" x14ac:dyDescent="0.2">
      <c r="A73" s="436"/>
      <c r="B73" s="437"/>
      <c r="C73" s="467"/>
      <c r="D73" s="473"/>
      <c r="E73" s="474"/>
      <c r="F73" s="475"/>
      <c r="G73" s="475"/>
      <c r="H73" s="476"/>
      <c r="I73" s="475"/>
      <c r="J73" s="477"/>
      <c r="K73" s="497">
        <f>IF(F73="",0,(VLOOKUP('wgl tot'!F73,saltab2019,'wgl tot'!G73+1,FALSE)))</f>
        <v>0</v>
      </c>
      <c r="L73" s="479">
        <f t="shared" si="30"/>
        <v>0</v>
      </c>
      <c r="M73" s="467"/>
      <c r="N73" s="497">
        <f>ROUND(IF(('wgl tot'!L73+'wgl tot'!P73)*BB73&lt;'wgl tot'!H73*tabellen!$D$43,'wgl tot'!H73*tabellen!$D$43,('wgl tot'!L73+'wgl tot'!P73)*BB73),2)</f>
        <v>0</v>
      </c>
      <c r="O73" s="497">
        <f>ROUND(+('wgl tot'!L73+'wgl tot'!P73)*BC73,2)</f>
        <v>0</v>
      </c>
      <c r="P73" s="497">
        <f>ROUND(IF(I73="j",VLOOKUP(AZ73,uitlooptoeslag,2,FALSE))*IF('wgl tot'!H73&gt;1,1,'wgl tot'!H73),2)</f>
        <v>0</v>
      </c>
      <c r="Q73" s="497">
        <f>ROUND(IF(BE73="j",tabellen!$D$52*IF('wgl tot'!H73&gt;1,1,'wgl tot'!H73),0),2)</f>
        <v>0</v>
      </c>
      <c r="R73" s="497">
        <f>IF(AND(F73&gt;0,F73&lt;17),tabellen!$C$37*'wgl tot'!H73,0)</f>
        <v>0</v>
      </c>
      <c r="S73" s="497">
        <f>VLOOKUP(BD73,eindejaarsuitkering_OOP,2,TRUE)*'wgl tot'!H73/12</f>
        <v>0</v>
      </c>
      <c r="T73" s="497">
        <f>ROUND('wgl tot'!H73*tabellen!$D$50,2)</f>
        <v>0</v>
      </c>
      <c r="U73" s="498">
        <f t="shared" si="17"/>
        <v>0</v>
      </c>
      <c r="V73" s="497">
        <f>('wgl tot'!L73+'wgl tot'!P73)*tabellen!$C$39*12</f>
        <v>0</v>
      </c>
      <c r="W73" s="479">
        <f t="shared" si="10"/>
        <v>0</v>
      </c>
      <c r="X73" s="467"/>
      <c r="Y73" s="498">
        <f t="shared" si="11"/>
        <v>0</v>
      </c>
      <c r="Z73" s="674">
        <f>+'wgl tot'!V73/12</f>
        <v>0</v>
      </c>
      <c r="AA73" s="467"/>
      <c r="AB73" s="497">
        <f>IF(F73="",0,(IF('wgl tot'!U73/'wgl tot'!H73&lt;tabellen!$E$6,0,('wgl tot'!U73-tabellen!$E$6*'wgl tot'!H73)/12)*tabellen!$C$6))</f>
        <v>0</v>
      </c>
      <c r="AC73" s="497">
        <f>IF(F73="",0,(IF('wgl tot'!U73/'wgl tot'!H73&lt;tabellen!$E$7,0,(+'wgl tot'!U73-tabellen!$E$7*'wgl tot'!H73)/12)*tabellen!$C$7))</f>
        <v>0</v>
      </c>
      <c r="AD73" s="497">
        <f>'wgl tot'!U73/12*tabellen!$C$8</f>
        <v>0</v>
      </c>
      <c r="AE73" s="497">
        <f>IF(H73=0,0,IF(BJ73&gt;tabellen!$G$9/12,tabellen!$G$9/12,BJ73)*(tabellen!$C$9+tabellen!$C$10))</f>
        <v>0</v>
      </c>
      <c r="AF73" s="497">
        <f>IF(F73="",0,('wgl tot'!BK73))</f>
        <v>0</v>
      </c>
      <c r="AG73" s="499">
        <f>IF(F73="",0,(IF('wgl tot'!BJ73&gt;tabellen!$G$12*'wgl tot'!H73/12,tabellen!$G$12*'wgl tot'!H73/12,'wgl tot'!BJ73)*tabellen!$C$12))</f>
        <v>0</v>
      </c>
      <c r="AH73" s="467"/>
      <c r="AI73" s="499">
        <f>IF(F73="",0,('wgl tot'!BJ73*IF(J73=1,tabellen!$C$13,IF(J73=2,tabellen!$C$14,IF(J73=3,tabellen!$C$15,tabellen!$C$16)))))</f>
        <v>0</v>
      </c>
      <c r="AJ73" s="499">
        <f>IF(F73="",0,('wgl tot'!BJ73*tabellen!$C$17))</f>
        <v>0</v>
      </c>
      <c r="AK73" s="679">
        <v>0</v>
      </c>
      <c r="AL73" s="467"/>
      <c r="AM73" s="479">
        <f t="shared" si="18"/>
        <v>0</v>
      </c>
      <c r="AN73" s="479">
        <f t="shared" si="12"/>
        <v>0</v>
      </c>
      <c r="AO73" s="467"/>
      <c r="AP73" s="503" t="str">
        <f t="shared" si="19"/>
        <v/>
      </c>
      <c r="AQ73" s="503" t="str">
        <f t="shared" si="20"/>
        <v/>
      </c>
      <c r="AR73" s="467"/>
      <c r="AS73" s="444"/>
      <c r="AT73" s="436"/>
      <c r="AU73" s="436"/>
      <c r="AV73" s="481">
        <f ca="1">YEAR('wgl tot'!$AV$9)-YEAR('wgl tot'!E73)</f>
        <v>118</v>
      </c>
      <c r="AW73" s="481">
        <f ca="1">MONTH('wgl tot'!$AV$9)-MONTH('wgl tot'!E73)</f>
        <v>8</v>
      </c>
      <c r="AX73" s="481">
        <f ca="1">DAY('wgl tot'!$AV$9)-DAY('wgl tot'!E73)</f>
        <v>21</v>
      </c>
      <c r="AY73" s="445">
        <f>IF(AND('wgl tot'!F73&gt;0,'wgl tot'!F73&lt;17),0,100)</f>
        <v>100</v>
      </c>
      <c r="AZ73" s="445">
        <f t="shared" si="21"/>
        <v>0</v>
      </c>
      <c r="BA73" s="464">
        <v>42583</v>
      </c>
      <c r="BB73" s="482">
        <f t="shared" si="15"/>
        <v>0.08</v>
      </c>
      <c r="BC73" s="483">
        <f>+tabellen!$D$44</f>
        <v>6.3E-2</v>
      </c>
      <c r="BD73" s="481">
        <f>IF('wgl tot'!AY73=100,0,'wgl tot'!F73)</f>
        <v>0</v>
      </c>
      <c r="BE73" s="483" t="str">
        <f>IF(OR('wgl tot'!F73="DA",'wgl tot'!F73="DB",'wgl tot'!F73="DBuit",'wgl tot'!F73="DC",'wgl tot'!F73="DCuit",MID('wgl tot'!F73,1,5)="meerh"),"j","n")</f>
        <v>n</v>
      </c>
      <c r="BF73" s="485" t="e">
        <f>IF('wgl tot'!U73/'wgl tot'!H73&lt;tabellen!$E$6,0,(+'wgl tot'!U73-tabellen!$E$6*'wgl tot'!H73)/12*tabellen!$D$6)</f>
        <v>#DIV/0!</v>
      </c>
      <c r="BG73" s="485" t="e">
        <f>IF('wgl tot'!U73/'wgl tot'!H73&lt;tabellen!$E$7,0,(+'wgl tot'!U73-tabellen!$E$7*'wgl tot'!H73)/12*tabellen!$D$7)</f>
        <v>#DIV/0!</v>
      </c>
      <c r="BH73" s="485">
        <f>'wgl tot'!U73/12*tabellen!$D$8</f>
        <v>0</v>
      </c>
      <c r="BI73" s="486" t="e">
        <f t="shared" si="16"/>
        <v>#DIV/0!</v>
      </c>
      <c r="BJ73" s="487" t="e">
        <f>+(U73+V73)/12-'wgl tot'!BI73</f>
        <v>#DIV/0!</v>
      </c>
      <c r="BK73" s="487" t="e">
        <f>ROUND(IF('wgl tot'!BJ73&gt;tabellen!$H$11,tabellen!$H$11,'wgl tot'!BJ73)*tabellen!$C$11,2)</f>
        <v>#DIV/0!</v>
      </c>
      <c r="BL73" s="487" t="e">
        <f>+'wgl tot'!BJ73+'wgl tot'!BK73</f>
        <v>#DIV/0!</v>
      </c>
      <c r="BM73" s="488">
        <f t="shared" si="22"/>
        <v>1900</v>
      </c>
      <c r="BN73" s="488">
        <f t="shared" si="23"/>
        <v>1</v>
      </c>
      <c r="BO73" s="481">
        <f t="shared" si="24"/>
        <v>0</v>
      </c>
      <c r="BP73" s="464">
        <f t="shared" si="13"/>
        <v>22462</v>
      </c>
      <c r="BQ73" s="464">
        <f t="shared" ca="1" si="14"/>
        <v>43364.939215393519</v>
      </c>
      <c r="BR73" s="445"/>
      <c r="BS73" s="464"/>
      <c r="BT73" s="445"/>
      <c r="BU73" s="484"/>
      <c r="BV73" s="484"/>
      <c r="BW73" s="484"/>
      <c r="BX73" s="484"/>
      <c r="BY73" s="484"/>
      <c r="BZ73" s="484"/>
      <c r="CA73" s="436"/>
      <c r="CB73" s="436"/>
    </row>
    <row r="74" spans="1:80" s="447" customFormat="1" ht="12" customHeight="1" x14ac:dyDescent="0.2">
      <c r="A74" s="436"/>
      <c r="B74" s="437"/>
      <c r="C74" s="467"/>
      <c r="D74" s="473"/>
      <c r="E74" s="474"/>
      <c r="F74" s="475"/>
      <c r="G74" s="475"/>
      <c r="H74" s="476"/>
      <c r="I74" s="475"/>
      <c r="J74" s="477"/>
      <c r="K74" s="497">
        <f>IF(F74="",0,(VLOOKUP('wgl tot'!F74,saltab2019,'wgl tot'!G74+1,FALSE)))</f>
        <v>0</v>
      </c>
      <c r="L74" s="479">
        <f t="shared" si="30"/>
        <v>0</v>
      </c>
      <c r="M74" s="467"/>
      <c r="N74" s="497">
        <f>ROUND(IF(('wgl tot'!L74+'wgl tot'!P74)*BB74&lt;'wgl tot'!H74*tabellen!$D$43,'wgl tot'!H74*tabellen!$D$43,('wgl tot'!L74+'wgl tot'!P74)*BB74),2)</f>
        <v>0</v>
      </c>
      <c r="O74" s="497">
        <f>ROUND(+('wgl tot'!L74+'wgl tot'!P74)*BC74,2)</f>
        <v>0</v>
      </c>
      <c r="P74" s="497">
        <f>ROUND(IF(I74="j",VLOOKUP(AZ74,uitlooptoeslag,2,FALSE))*IF('wgl tot'!H74&gt;1,1,'wgl tot'!H74),2)</f>
        <v>0</v>
      </c>
      <c r="Q74" s="497">
        <f>ROUND(IF(BE74="j",tabellen!$D$52*IF('wgl tot'!H74&gt;1,1,'wgl tot'!H74),0),2)</f>
        <v>0</v>
      </c>
      <c r="R74" s="497">
        <f>IF(AND(F74&gt;0,F74&lt;17),tabellen!$C$37*'wgl tot'!H74,0)</f>
        <v>0</v>
      </c>
      <c r="S74" s="497">
        <f>VLOOKUP(BD74,eindejaarsuitkering_OOP,2,TRUE)*'wgl tot'!H74/12</f>
        <v>0</v>
      </c>
      <c r="T74" s="497">
        <f>ROUND('wgl tot'!H74*tabellen!$D$50,2)</f>
        <v>0</v>
      </c>
      <c r="U74" s="498">
        <f t="shared" si="17"/>
        <v>0</v>
      </c>
      <c r="V74" s="497">
        <f>('wgl tot'!L74+'wgl tot'!P74)*tabellen!$C$39*12</f>
        <v>0</v>
      </c>
      <c r="W74" s="479">
        <f t="shared" si="10"/>
        <v>0</v>
      </c>
      <c r="X74" s="467"/>
      <c r="Y74" s="498">
        <f t="shared" si="11"/>
        <v>0</v>
      </c>
      <c r="Z74" s="674">
        <f>+'wgl tot'!V74/12</f>
        <v>0</v>
      </c>
      <c r="AA74" s="467"/>
      <c r="AB74" s="497">
        <f>IF(F74="",0,(IF('wgl tot'!U74/'wgl tot'!H74&lt;tabellen!$E$6,0,('wgl tot'!U74-tabellen!$E$6*'wgl tot'!H74)/12)*tabellen!$C$6))</f>
        <v>0</v>
      </c>
      <c r="AC74" s="497">
        <f>IF(F74="",0,(IF('wgl tot'!U74/'wgl tot'!H74&lt;tabellen!$E$7,0,(+'wgl tot'!U74-tabellen!$E$7*'wgl tot'!H74)/12)*tabellen!$C$7))</f>
        <v>0</v>
      </c>
      <c r="AD74" s="497">
        <f>'wgl tot'!U74/12*tabellen!$C$8</f>
        <v>0</v>
      </c>
      <c r="AE74" s="497">
        <f>IF(H74=0,0,IF(BJ74&gt;tabellen!$G$9/12,tabellen!$G$9/12,BJ74)*(tabellen!$C$9+tabellen!$C$10))</f>
        <v>0</v>
      </c>
      <c r="AF74" s="497">
        <f>IF(F74="",0,('wgl tot'!BK74))</f>
        <v>0</v>
      </c>
      <c r="AG74" s="499">
        <f>IF(F74="",0,(IF('wgl tot'!BJ74&gt;tabellen!$G$12*'wgl tot'!H74/12,tabellen!$G$12*'wgl tot'!H74/12,'wgl tot'!BJ74)*tabellen!$C$12))</f>
        <v>0</v>
      </c>
      <c r="AH74" s="467"/>
      <c r="AI74" s="499">
        <f>IF(F74="",0,('wgl tot'!BJ74*IF(J74=1,tabellen!$C$13,IF(J74=2,tabellen!$C$14,IF(J74=3,tabellen!$C$15,tabellen!$C$16)))))</f>
        <v>0</v>
      </c>
      <c r="AJ74" s="499">
        <f>IF(F74="",0,('wgl tot'!BJ74*tabellen!$C$17))</f>
        <v>0</v>
      </c>
      <c r="AK74" s="679">
        <v>0</v>
      </c>
      <c r="AL74" s="467"/>
      <c r="AM74" s="479">
        <f t="shared" si="18"/>
        <v>0</v>
      </c>
      <c r="AN74" s="479">
        <f t="shared" si="12"/>
        <v>0</v>
      </c>
      <c r="AO74" s="467"/>
      <c r="AP74" s="503" t="str">
        <f t="shared" si="19"/>
        <v/>
      </c>
      <c r="AQ74" s="503" t="str">
        <f t="shared" si="20"/>
        <v/>
      </c>
      <c r="AR74" s="467"/>
      <c r="AS74" s="444"/>
      <c r="AT74" s="436"/>
      <c r="AU74" s="436"/>
      <c r="AV74" s="481">
        <f ca="1">YEAR('wgl tot'!$AV$9)-YEAR('wgl tot'!E74)</f>
        <v>118</v>
      </c>
      <c r="AW74" s="481">
        <f ca="1">MONTH('wgl tot'!$AV$9)-MONTH('wgl tot'!E74)</f>
        <v>8</v>
      </c>
      <c r="AX74" s="481">
        <f ca="1">DAY('wgl tot'!$AV$9)-DAY('wgl tot'!E74)</f>
        <v>21</v>
      </c>
      <c r="AY74" s="445">
        <f>IF(AND('wgl tot'!F74&gt;0,'wgl tot'!F74&lt;17),0,100)</f>
        <v>100</v>
      </c>
      <c r="AZ74" s="445">
        <f t="shared" si="21"/>
        <v>0</v>
      </c>
      <c r="BA74" s="464">
        <v>42583</v>
      </c>
      <c r="BB74" s="482">
        <f t="shared" si="15"/>
        <v>0.08</v>
      </c>
      <c r="BC74" s="483">
        <f>+tabellen!$D$44</f>
        <v>6.3E-2</v>
      </c>
      <c r="BD74" s="481">
        <f>IF('wgl tot'!AY74=100,0,'wgl tot'!F74)</f>
        <v>0</v>
      </c>
      <c r="BE74" s="483" t="str">
        <f>IF(OR('wgl tot'!F74="DA",'wgl tot'!F74="DB",'wgl tot'!F74="DBuit",'wgl tot'!F74="DC",'wgl tot'!F74="DCuit",MID('wgl tot'!F74,1,5)="meerh"),"j","n")</f>
        <v>n</v>
      </c>
      <c r="BF74" s="485" t="e">
        <f>IF('wgl tot'!U74/'wgl tot'!H74&lt;tabellen!$E$6,0,(+'wgl tot'!U74-tabellen!$E$6*'wgl tot'!H74)/12*tabellen!$D$6)</f>
        <v>#DIV/0!</v>
      </c>
      <c r="BG74" s="485" t="e">
        <f>IF('wgl tot'!U74/'wgl tot'!H74&lt;tabellen!$E$7,0,(+'wgl tot'!U74-tabellen!$E$7*'wgl tot'!H74)/12*tabellen!$D$7)</f>
        <v>#DIV/0!</v>
      </c>
      <c r="BH74" s="485">
        <f>'wgl tot'!U74/12*tabellen!$D$8</f>
        <v>0</v>
      </c>
      <c r="BI74" s="486" t="e">
        <f t="shared" si="16"/>
        <v>#DIV/0!</v>
      </c>
      <c r="BJ74" s="487" t="e">
        <f>+(U74+V74)/12-'wgl tot'!BI74</f>
        <v>#DIV/0!</v>
      </c>
      <c r="BK74" s="487" t="e">
        <f>ROUND(IF('wgl tot'!BJ74&gt;tabellen!$H$11,tabellen!$H$11,'wgl tot'!BJ74)*tabellen!$C$11,2)</f>
        <v>#DIV/0!</v>
      </c>
      <c r="BL74" s="487" t="e">
        <f>+'wgl tot'!BJ74+'wgl tot'!BK74</f>
        <v>#DIV/0!</v>
      </c>
      <c r="BM74" s="488">
        <f t="shared" si="22"/>
        <v>1900</v>
      </c>
      <c r="BN74" s="488">
        <f t="shared" si="23"/>
        <v>1</v>
      </c>
      <c r="BO74" s="481">
        <f t="shared" si="24"/>
        <v>0</v>
      </c>
      <c r="BP74" s="464">
        <f t="shared" si="13"/>
        <v>22462</v>
      </c>
      <c r="BQ74" s="464">
        <f t="shared" ca="1" si="14"/>
        <v>43364.939215393519</v>
      </c>
      <c r="BR74" s="445"/>
      <c r="BS74" s="464"/>
      <c r="BT74" s="445"/>
      <c r="BU74" s="484"/>
      <c r="BV74" s="484"/>
      <c r="BW74" s="484"/>
      <c r="BX74" s="484"/>
      <c r="BY74" s="484"/>
      <c r="BZ74" s="484"/>
      <c r="CA74" s="436"/>
      <c r="CB74" s="436"/>
    </row>
    <row r="75" spans="1:80" s="447" customFormat="1" ht="12" customHeight="1" x14ac:dyDescent="0.2">
      <c r="A75" s="436"/>
      <c r="B75" s="437"/>
      <c r="C75" s="467"/>
      <c r="D75" s="473"/>
      <c r="E75" s="474"/>
      <c r="F75" s="475"/>
      <c r="G75" s="475"/>
      <c r="H75" s="476"/>
      <c r="I75" s="475"/>
      <c r="J75" s="477"/>
      <c r="K75" s="497">
        <f>IF(F75="",0,(VLOOKUP('wgl tot'!F75,saltab2019,'wgl tot'!G75+1,FALSE)))</f>
        <v>0</v>
      </c>
      <c r="L75" s="479">
        <f t="shared" si="30"/>
        <v>0</v>
      </c>
      <c r="M75" s="467"/>
      <c r="N75" s="497">
        <f>ROUND(IF(('wgl tot'!L75+'wgl tot'!P75)*BB75&lt;'wgl tot'!H75*tabellen!$D$43,'wgl tot'!H75*tabellen!$D$43,('wgl tot'!L75+'wgl tot'!P75)*BB75),2)</f>
        <v>0</v>
      </c>
      <c r="O75" s="497">
        <f>ROUND(+('wgl tot'!L75+'wgl tot'!P75)*BC75,2)</f>
        <v>0</v>
      </c>
      <c r="P75" s="497">
        <f>ROUND(IF(I75="j",VLOOKUP(AZ75,uitlooptoeslag,2,FALSE))*IF('wgl tot'!H75&gt;1,1,'wgl tot'!H75),2)</f>
        <v>0</v>
      </c>
      <c r="Q75" s="497">
        <f>ROUND(IF(BE75="j",tabellen!$D$52*IF('wgl tot'!H75&gt;1,1,'wgl tot'!H75),0),2)</f>
        <v>0</v>
      </c>
      <c r="R75" s="497">
        <f>IF(AND(F75&gt;0,F75&lt;17),tabellen!$C$37*'wgl tot'!H75,0)</f>
        <v>0</v>
      </c>
      <c r="S75" s="497">
        <f>VLOOKUP(BD75,eindejaarsuitkering_OOP,2,TRUE)*'wgl tot'!H75/12</f>
        <v>0</v>
      </c>
      <c r="T75" s="497">
        <f>ROUND('wgl tot'!H75*tabellen!$D$50,2)</f>
        <v>0</v>
      </c>
      <c r="U75" s="498">
        <f t="shared" si="17"/>
        <v>0</v>
      </c>
      <c r="V75" s="497">
        <f>('wgl tot'!L75+'wgl tot'!P75)*tabellen!$C$39*12</f>
        <v>0</v>
      </c>
      <c r="W75" s="479">
        <f t="shared" si="10"/>
        <v>0</v>
      </c>
      <c r="X75" s="467"/>
      <c r="Y75" s="498">
        <f t="shared" si="11"/>
        <v>0</v>
      </c>
      <c r="Z75" s="674">
        <f>+'wgl tot'!V75/12</f>
        <v>0</v>
      </c>
      <c r="AA75" s="467"/>
      <c r="AB75" s="497">
        <f>IF(F75="",0,(IF('wgl tot'!U75/'wgl tot'!H75&lt;tabellen!$E$6,0,('wgl tot'!U75-tabellen!$E$6*'wgl tot'!H75)/12)*tabellen!$C$6))</f>
        <v>0</v>
      </c>
      <c r="AC75" s="497">
        <f>IF(F75="",0,(IF('wgl tot'!U75/'wgl tot'!H75&lt;tabellen!$E$7,0,(+'wgl tot'!U75-tabellen!$E$7*'wgl tot'!H75)/12)*tabellen!$C$7))</f>
        <v>0</v>
      </c>
      <c r="AD75" s="497">
        <f>'wgl tot'!U75/12*tabellen!$C$8</f>
        <v>0</v>
      </c>
      <c r="AE75" s="497">
        <f>IF(H75=0,0,IF(BJ75&gt;tabellen!$G$9/12,tabellen!$G$9/12,BJ75)*(tabellen!$C$9+tabellen!$C$10))</f>
        <v>0</v>
      </c>
      <c r="AF75" s="497">
        <f>IF(F75="",0,('wgl tot'!BK75))</f>
        <v>0</v>
      </c>
      <c r="AG75" s="499">
        <f>IF(F75="",0,(IF('wgl tot'!BJ75&gt;tabellen!$G$12*'wgl tot'!H75/12,tabellen!$G$12*'wgl tot'!H75/12,'wgl tot'!BJ75)*tabellen!$C$12))</f>
        <v>0</v>
      </c>
      <c r="AH75" s="467"/>
      <c r="AI75" s="499">
        <f>IF(F75="",0,('wgl tot'!BJ75*IF(J75=1,tabellen!$C$13,IF(J75=2,tabellen!$C$14,IF(J75=3,tabellen!$C$15,tabellen!$C$16)))))</f>
        <v>0</v>
      </c>
      <c r="AJ75" s="499">
        <f>IF(F75="",0,('wgl tot'!BJ75*tabellen!$C$17))</f>
        <v>0</v>
      </c>
      <c r="AK75" s="679">
        <v>0</v>
      </c>
      <c r="AL75" s="467"/>
      <c r="AM75" s="479">
        <f t="shared" si="18"/>
        <v>0</v>
      </c>
      <c r="AN75" s="479">
        <f t="shared" si="12"/>
        <v>0</v>
      </c>
      <c r="AO75" s="467"/>
      <c r="AP75" s="503" t="str">
        <f t="shared" si="19"/>
        <v/>
      </c>
      <c r="AQ75" s="503" t="str">
        <f t="shared" si="20"/>
        <v/>
      </c>
      <c r="AR75" s="467"/>
      <c r="AS75" s="444"/>
      <c r="AT75" s="436"/>
      <c r="AU75" s="436"/>
      <c r="AV75" s="481">
        <f ca="1">YEAR('wgl tot'!$AV$9)-YEAR('wgl tot'!E75)</f>
        <v>118</v>
      </c>
      <c r="AW75" s="481">
        <f ca="1">MONTH('wgl tot'!$AV$9)-MONTH('wgl tot'!E75)</f>
        <v>8</v>
      </c>
      <c r="AX75" s="481">
        <f ca="1">DAY('wgl tot'!$AV$9)-DAY('wgl tot'!E75)</f>
        <v>21</v>
      </c>
      <c r="AY75" s="445">
        <f>IF(AND('wgl tot'!F75&gt;0,'wgl tot'!F75&lt;17),0,100)</f>
        <v>100</v>
      </c>
      <c r="AZ75" s="445">
        <f t="shared" si="21"/>
        <v>0</v>
      </c>
      <c r="BA75" s="464">
        <v>42583</v>
      </c>
      <c r="BB75" s="482">
        <f t="shared" si="15"/>
        <v>0.08</v>
      </c>
      <c r="BC75" s="483">
        <f>+tabellen!$D$44</f>
        <v>6.3E-2</v>
      </c>
      <c r="BD75" s="481">
        <f>IF('wgl tot'!AY75=100,0,'wgl tot'!F75)</f>
        <v>0</v>
      </c>
      <c r="BE75" s="483" t="str">
        <f>IF(OR('wgl tot'!F75="DA",'wgl tot'!F75="DB",'wgl tot'!F75="DBuit",'wgl tot'!F75="DC",'wgl tot'!F75="DCuit",MID('wgl tot'!F75,1,5)="meerh"),"j","n")</f>
        <v>n</v>
      </c>
      <c r="BF75" s="485" t="e">
        <f>IF('wgl tot'!U75/'wgl tot'!H75&lt;tabellen!$E$6,0,(+'wgl tot'!U75-tabellen!$E$6*'wgl tot'!H75)/12*tabellen!$D$6)</f>
        <v>#DIV/0!</v>
      </c>
      <c r="BG75" s="485" t="e">
        <f>IF('wgl tot'!U75/'wgl tot'!H75&lt;tabellen!$E$7,0,(+'wgl tot'!U75-tabellen!$E$7*'wgl tot'!H75)/12*tabellen!$D$7)</f>
        <v>#DIV/0!</v>
      </c>
      <c r="BH75" s="485">
        <f>'wgl tot'!U75/12*tabellen!$D$8</f>
        <v>0</v>
      </c>
      <c r="BI75" s="486" t="e">
        <f t="shared" si="16"/>
        <v>#DIV/0!</v>
      </c>
      <c r="BJ75" s="487" t="e">
        <f>+(U75+V75)/12-'wgl tot'!BI75</f>
        <v>#DIV/0!</v>
      </c>
      <c r="BK75" s="487" t="e">
        <f>ROUND(IF('wgl tot'!BJ75&gt;tabellen!$H$11,tabellen!$H$11,'wgl tot'!BJ75)*tabellen!$C$11,2)</f>
        <v>#DIV/0!</v>
      </c>
      <c r="BL75" s="487" t="e">
        <f>+'wgl tot'!BJ75+'wgl tot'!BK75</f>
        <v>#DIV/0!</v>
      </c>
      <c r="BM75" s="488">
        <f t="shared" si="22"/>
        <v>1900</v>
      </c>
      <c r="BN75" s="488">
        <f t="shared" si="23"/>
        <v>1</v>
      </c>
      <c r="BO75" s="481">
        <f t="shared" si="24"/>
        <v>0</v>
      </c>
      <c r="BP75" s="464">
        <f t="shared" si="13"/>
        <v>22462</v>
      </c>
      <c r="BQ75" s="464">
        <f t="shared" ca="1" si="14"/>
        <v>43364.939215393519</v>
      </c>
      <c r="BR75" s="445"/>
      <c r="BS75" s="464"/>
      <c r="BT75" s="445"/>
      <c r="BU75" s="484"/>
      <c r="BV75" s="484"/>
      <c r="BW75" s="484"/>
      <c r="BX75" s="484"/>
      <c r="BY75" s="484"/>
      <c r="BZ75" s="484"/>
      <c r="CA75" s="436"/>
      <c r="CB75" s="436"/>
    </row>
    <row r="76" spans="1:80" s="447" customFormat="1" ht="12" customHeight="1" x14ac:dyDescent="0.2">
      <c r="A76" s="436"/>
      <c r="B76" s="437"/>
      <c r="C76" s="467"/>
      <c r="D76" s="473"/>
      <c r="E76" s="474"/>
      <c r="F76" s="475"/>
      <c r="G76" s="475"/>
      <c r="H76" s="476"/>
      <c r="I76" s="475"/>
      <c r="J76" s="477"/>
      <c r="K76" s="497">
        <f>IF(F76="",0,(VLOOKUP('wgl tot'!F76,saltab2019,'wgl tot'!G76+1,FALSE)))</f>
        <v>0</v>
      </c>
      <c r="L76" s="479">
        <f t="shared" si="30"/>
        <v>0</v>
      </c>
      <c r="M76" s="467"/>
      <c r="N76" s="497">
        <f>ROUND(IF(('wgl tot'!L76+'wgl tot'!P76)*BB76&lt;'wgl tot'!H76*tabellen!$D$43,'wgl tot'!H76*tabellen!$D$43,('wgl tot'!L76+'wgl tot'!P76)*BB76),2)</f>
        <v>0</v>
      </c>
      <c r="O76" s="497">
        <f>ROUND(+('wgl tot'!L76+'wgl tot'!P76)*BC76,2)</f>
        <v>0</v>
      </c>
      <c r="P76" s="497">
        <f>ROUND(IF(I76="j",VLOOKUP(AZ76,uitlooptoeslag,2,FALSE))*IF('wgl tot'!H76&gt;1,1,'wgl tot'!H76),2)</f>
        <v>0</v>
      </c>
      <c r="Q76" s="497">
        <f>ROUND(IF(BE76="j",tabellen!$D$52*IF('wgl tot'!H76&gt;1,1,'wgl tot'!H76),0),2)</f>
        <v>0</v>
      </c>
      <c r="R76" s="497">
        <f>IF(AND(F76&gt;0,F76&lt;17),tabellen!$C$37*'wgl tot'!H76,0)</f>
        <v>0</v>
      </c>
      <c r="S76" s="497">
        <f>VLOOKUP(BD76,eindejaarsuitkering_OOP,2,TRUE)*'wgl tot'!H76/12</f>
        <v>0</v>
      </c>
      <c r="T76" s="497">
        <f>ROUND('wgl tot'!H76*tabellen!$D$50,2)</f>
        <v>0</v>
      </c>
      <c r="U76" s="498">
        <f t="shared" ref="U76:U86" si="31">ROUND(((SUM(L76:S76)*12)+T76),0)</f>
        <v>0</v>
      </c>
      <c r="V76" s="497">
        <f>('wgl tot'!L76+'wgl tot'!P76)*tabellen!$C$39*12</f>
        <v>0</v>
      </c>
      <c r="W76" s="479">
        <f t="shared" si="10"/>
        <v>0</v>
      </c>
      <c r="X76" s="467"/>
      <c r="Y76" s="498">
        <f t="shared" si="11"/>
        <v>0</v>
      </c>
      <c r="Z76" s="674">
        <f>+'wgl tot'!V76/12</f>
        <v>0</v>
      </c>
      <c r="AA76" s="467"/>
      <c r="AB76" s="497">
        <f>IF(F76="",0,(IF('wgl tot'!U76/'wgl tot'!H76&lt;tabellen!$E$6,0,('wgl tot'!U76-tabellen!$E$6*'wgl tot'!H76)/12)*tabellen!$C$6))</f>
        <v>0</v>
      </c>
      <c r="AC76" s="497">
        <f>IF(F76="",0,(IF('wgl tot'!U76/'wgl tot'!H76&lt;tabellen!$E$7,0,(+'wgl tot'!U76-tabellen!$E$7*'wgl tot'!H76)/12)*tabellen!$C$7))</f>
        <v>0</v>
      </c>
      <c r="AD76" s="497">
        <f>'wgl tot'!U76/12*tabellen!$C$8</f>
        <v>0</v>
      </c>
      <c r="AE76" s="497">
        <f>IF(H76=0,0,IF(BJ76&gt;tabellen!$G$9/12,tabellen!$G$9/12,BJ76)*(tabellen!$C$9+tabellen!$C$10))</f>
        <v>0</v>
      </c>
      <c r="AF76" s="497">
        <f>IF(F76="",0,('wgl tot'!BK76))</f>
        <v>0</v>
      </c>
      <c r="AG76" s="499">
        <f>IF(F76="",0,(IF('wgl tot'!BJ76&gt;tabellen!$G$12*'wgl tot'!H76/12,tabellen!$G$12*'wgl tot'!H76/12,'wgl tot'!BJ76)*tabellen!$C$12))</f>
        <v>0</v>
      </c>
      <c r="AH76" s="467"/>
      <c r="AI76" s="499">
        <f>IF(F76="",0,('wgl tot'!BJ76*IF(J76=1,tabellen!$C$13,IF(J76=2,tabellen!$C$14,IF(J76=3,tabellen!$C$15,tabellen!$C$16)))))</f>
        <v>0</v>
      </c>
      <c r="AJ76" s="499">
        <f>IF(F76="",0,('wgl tot'!BJ76*tabellen!$C$17))</f>
        <v>0</v>
      </c>
      <c r="AK76" s="679">
        <v>0</v>
      </c>
      <c r="AL76" s="467"/>
      <c r="AM76" s="479">
        <f t="shared" ref="AM76:AM86" si="32">SUM(Y76:AK76)</f>
        <v>0</v>
      </c>
      <c r="AN76" s="479">
        <f t="shared" si="12"/>
        <v>0</v>
      </c>
      <c r="AO76" s="467"/>
      <c r="AP76" s="503" t="str">
        <f t="shared" ref="AP76:AP86" si="33">IF(AM76=0,"",(AM76/L76-1))</f>
        <v/>
      </c>
      <c r="AQ76" s="503" t="str">
        <f t="shared" ref="AQ76:AQ86" si="34">IF(AM76=0,"",(AM76/(W76/12))-1)</f>
        <v/>
      </c>
      <c r="AR76" s="467"/>
      <c r="AS76" s="444"/>
      <c r="AT76" s="436"/>
      <c r="AU76" s="436"/>
      <c r="AV76" s="481">
        <f ca="1">YEAR('wgl tot'!$AV$9)-YEAR('wgl tot'!E76)</f>
        <v>118</v>
      </c>
      <c r="AW76" s="481">
        <f ca="1">MONTH('wgl tot'!$AV$9)-MONTH('wgl tot'!E76)</f>
        <v>8</v>
      </c>
      <c r="AX76" s="481">
        <f ca="1">DAY('wgl tot'!$AV$9)-DAY('wgl tot'!E76)</f>
        <v>21</v>
      </c>
      <c r="AY76" s="445">
        <f>IF(AND('wgl tot'!F76&gt;0,'wgl tot'!F76&lt;17),0,100)</f>
        <v>100</v>
      </c>
      <c r="AZ76" s="445">
        <f t="shared" ref="AZ76:AZ86" si="35">F76</f>
        <v>0</v>
      </c>
      <c r="BA76" s="464">
        <v>42583</v>
      </c>
      <c r="BB76" s="482">
        <f t="shared" si="15"/>
        <v>0.08</v>
      </c>
      <c r="BC76" s="483">
        <f>+tabellen!$D$44</f>
        <v>6.3E-2</v>
      </c>
      <c r="BD76" s="481">
        <f>IF('wgl tot'!AY76=100,0,'wgl tot'!F76)</f>
        <v>0</v>
      </c>
      <c r="BE76" s="483" t="str">
        <f>IF(OR('wgl tot'!F76="DA",'wgl tot'!F76="DB",'wgl tot'!F76="DBuit",'wgl tot'!F76="DC",'wgl tot'!F76="DCuit",MID('wgl tot'!F76,1,5)="meerh"),"j","n")</f>
        <v>n</v>
      </c>
      <c r="BF76" s="485" t="e">
        <f>IF('wgl tot'!U76/'wgl tot'!H76&lt;tabellen!$E$6,0,(+'wgl tot'!U76-tabellen!$E$6*'wgl tot'!H76)/12*tabellen!$D$6)</f>
        <v>#DIV/0!</v>
      </c>
      <c r="BG76" s="485" t="e">
        <f>IF('wgl tot'!U76/'wgl tot'!H76&lt;tabellen!$E$7,0,(+'wgl tot'!U76-tabellen!$E$7*'wgl tot'!H76)/12*tabellen!$D$7)</f>
        <v>#DIV/0!</v>
      </c>
      <c r="BH76" s="485">
        <f>'wgl tot'!U76/12*tabellen!$D$8</f>
        <v>0</v>
      </c>
      <c r="BI76" s="486" t="e">
        <f>SUM(BF76:BH76)</f>
        <v>#DIV/0!</v>
      </c>
      <c r="BJ76" s="487" t="e">
        <f>+(U76+V76)/12-'wgl tot'!BI76</f>
        <v>#DIV/0!</v>
      </c>
      <c r="BK76" s="487" t="e">
        <f>ROUND(IF('wgl tot'!BJ76&gt;tabellen!$H$11,tabellen!$H$11,'wgl tot'!BJ76)*tabellen!$C$11,2)</f>
        <v>#DIV/0!</v>
      </c>
      <c r="BL76" s="487" t="e">
        <f>+'wgl tot'!BJ76+'wgl tot'!BK76</f>
        <v>#DIV/0!</v>
      </c>
      <c r="BM76" s="488">
        <f t="shared" ref="BM76:BM86" si="36">YEAR(E76)</f>
        <v>1900</v>
      </c>
      <c r="BN76" s="488">
        <f t="shared" ref="BN76:BN86" si="37">MONTH(E76)</f>
        <v>1</v>
      </c>
      <c r="BO76" s="481">
        <f t="shared" ref="BO76:BO86" si="38">DAY(E76)</f>
        <v>0</v>
      </c>
      <c r="BP76" s="464">
        <f t="shared" si="13"/>
        <v>22462</v>
      </c>
      <c r="BQ76" s="464">
        <f t="shared" ca="1" si="14"/>
        <v>43364.939215393519</v>
      </c>
      <c r="BR76" s="445"/>
      <c r="BS76" s="464"/>
      <c r="BT76" s="445"/>
      <c r="BU76" s="484"/>
      <c r="BV76" s="484"/>
      <c r="BW76" s="484"/>
      <c r="BX76" s="484"/>
      <c r="BY76" s="484"/>
      <c r="BZ76" s="484"/>
      <c r="CA76" s="436"/>
      <c r="CB76" s="436"/>
    </row>
    <row r="77" spans="1:80" s="447" customFormat="1" ht="12" customHeight="1" x14ac:dyDescent="0.2">
      <c r="A77" s="436"/>
      <c r="B77" s="437"/>
      <c r="C77" s="467"/>
      <c r="D77" s="473"/>
      <c r="E77" s="474"/>
      <c r="F77" s="475"/>
      <c r="G77" s="475"/>
      <c r="H77" s="476"/>
      <c r="I77" s="475"/>
      <c r="J77" s="477"/>
      <c r="K77" s="497">
        <f>IF(F77="",0,(VLOOKUP('wgl tot'!F77,saltab2019,'wgl tot'!G77+1,FALSE)))</f>
        <v>0</v>
      </c>
      <c r="L77" s="479">
        <f t="shared" si="30"/>
        <v>0</v>
      </c>
      <c r="M77" s="467"/>
      <c r="N77" s="497">
        <f>ROUND(IF(('wgl tot'!L77+'wgl tot'!P77)*BB77&lt;'wgl tot'!H77*tabellen!$D$43,'wgl tot'!H77*tabellen!$D$43,('wgl tot'!L77+'wgl tot'!P77)*BB77),2)</f>
        <v>0</v>
      </c>
      <c r="O77" s="497">
        <f>ROUND(+('wgl tot'!L77+'wgl tot'!P77)*BC77,2)</f>
        <v>0</v>
      </c>
      <c r="P77" s="497">
        <f>ROUND(IF(I77="j",VLOOKUP(AZ77,uitlooptoeslag,2,FALSE))*IF('wgl tot'!H77&gt;1,1,'wgl tot'!H77),2)</f>
        <v>0</v>
      </c>
      <c r="Q77" s="497">
        <f>ROUND(IF(BE77="j",tabellen!$D$52*IF('wgl tot'!H77&gt;1,1,'wgl tot'!H77),0),2)</f>
        <v>0</v>
      </c>
      <c r="R77" s="497">
        <f>IF(AND(F77&gt;0,F77&lt;17),tabellen!$C$37*'wgl tot'!H77,0)</f>
        <v>0</v>
      </c>
      <c r="S77" s="497">
        <f>VLOOKUP(BD77,eindejaarsuitkering_OOP,2,TRUE)*'wgl tot'!H77/12</f>
        <v>0</v>
      </c>
      <c r="T77" s="497">
        <f>ROUND('wgl tot'!H77*tabellen!$D$50,2)</f>
        <v>0</v>
      </c>
      <c r="U77" s="498">
        <f t="shared" si="31"/>
        <v>0</v>
      </c>
      <c r="V77" s="497">
        <f>('wgl tot'!L77+'wgl tot'!P77)*tabellen!$C$39*12</f>
        <v>0</v>
      </c>
      <c r="W77" s="479">
        <f t="shared" ref="W77:W86" si="39">U77+V77</f>
        <v>0</v>
      </c>
      <c r="X77" s="467"/>
      <c r="Y77" s="498">
        <f t="shared" si="11"/>
        <v>0</v>
      </c>
      <c r="Z77" s="674">
        <f>+'wgl tot'!V77/12</f>
        <v>0</v>
      </c>
      <c r="AA77" s="467"/>
      <c r="AB77" s="497">
        <f>IF(F77="",0,(IF('wgl tot'!U77/'wgl tot'!H77&lt;tabellen!$E$6,0,('wgl tot'!U77-tabellen!$E$6*'wgl tot'!H77)/12)*tabellen!$C$6))</f>
        <v>0</v>
      </c>
      <c r="AC77" s="497">
        <f>IF(F77="",0,(IF('wgl tot'!U77/'wgl tot'!H77&lt;tabellen!$E$7,0,(+'wgl tot'!U77-tabellen!$E$7*'wgl tot'!H77)/12)*tabellen!$C$7))</f>
        <v>0</v>
      </c>
      <c r="AD77" s="497">
        <f>'wgl tot'!U77/12*tabellen!$C$8</f>
        <v>0</v>
      </c>
      <c r="AE77" s="497">
        <f>IF(H77=0,0,IF(BJ77&gt;tabellen!$G$9/12,tabellen!$G$9/12,BJ77)*(tabellen!$C$9+tabellen!$C$10))</f>
        <v>0</v>
      </c>
      <c r="AF77" s="497">
        <f>IF(F77="",0,('wgl tot'!BK77))</f>
        <v>0</v>
      </c>
      <c r="AG77" s="499">
        <f>IF(F77="",0,(IF('wgl tot'!BJ77&gt;tabellen!$G$12*'wgl tot'!H77/12,tabellen!$G$12*'wgl tot'!H77/12,'wgl tot'!BJ77)*tabellen!$C$12))</f>
        <v>0</v>
      </c>
      <c r="AH77" s="467"/>
      <c r="AI77" s="499">
        <f>IF(F77="",0,('wgl tot'!BJ77*IF(J77=1,tabellen!$C$13,IF(J77=2,tabellen!$C$14,IF(J77=3,tabellen!$C$15,tabellen!$C$16)))))</f>
        <v>0</v>
      </c>
      <c r="AJ77" s="499">
        <f>IF(F77="",0,('wgl tot'!BJ77*tabellen!$C$17))</f>
        <v>0</v>
      </c>
      <c r="AK77" s="679">
        <v>0</v>
      </c>
      <c r="AL77" s="467"/>
      <c r="AM77" s="479">
        <f t="shared" si="32"/>
        <v>0</v>
      </c>
      <c r="AN77" s="479">
        <f t="shared" si="12"/>
        <v>0</v>
      </c>
      <c r="AO77" s="467"/>
      <c r="AP77" s="503" t="str">
        <f t="shared" si="33"/>
        <v/>
      </c>
      <c r="AQ77" s="503" t="str">
        <f t="shared" si="34"/>
        <v/>
      </c>
      <c r="AR77" s="467"/>
      <c r="AS77" s="444"/>
      <c r="AT77" s="436"/>
      <c r="AU77" s="436"/>
      <c r="AV77" s="481">
        <f ca="1">YEAR('wgl tot'!$AV$9)-YEAR('wgl tot'!E77)</f>
        <v>118</v>
      </c>
      <c r="AW77" s="481">
        <f ca="1">MONTH('wgl tot'!$AV$9)-MONTH('wgl tot'!E77)</f>
        <v>8</v>
      </c>
      <c r="AX77" s="481">
        <f ca="1">DAY('wgl tot'!$AV$9)-DAY('wgl tot'!E77)</f>
        <v>21</v>
      </c>
      <c r="AY77" s="445">
        <f>IF(AND('wgl tot'!F77&gt;0,'wgl tot'!F77&lt;17),0,100)</f>
        <v>100</v>
      </c>
      <c r="AZ77" s="445">
        <f t="shared" si="35"/>
        <v>0</v>
      </c>
      <c r="BA77" s="464">
        <v>42583</v>
      </c>
      <c r="BB77" s="482">
        <f t="shared" si="15"/>
        <v>0.08</v>
      </c>
      <c r="BC77" s="483">
        <f>+tabellen!$D$44</f>
        <v>6.3E-2</v>
      </c>
      <c r="BD77" s="481">
        <f>IF('wgl tot'!AY77=100,0,'wgl tot'!F77)</f>
        <v>0</v>
      </c>
      <c r="BE77" s="483" t="str">
        <f>IF(OR('wgl tot'!F77="DA",'wgl tot'!F77="DB",'wgl tot'!F77="DBuit",'wgl tot'!F77="DC",'wgl tot'!F77="DCuit",MID('wgl tot'!F77,1,5)="meerh"),"j","n")</f>
        <v>n</v>
      </c>
      <c r="BF77" s="485" t="e">
        <f>IF('wgl tot'!U77/'wgl tot'!H77&lt;tabellen!$E$6,0,(+'wgl tot'!U77-tabellen!$E$6*'wgl tot'!H77)/12*tabellen!$D$6)</f>
        <v>#DIV/0!</v>
      </c>
      <c r="BG77" s="485" t="e">
        <f>IF('wgl tot'!U77/'wgl tot'!H77&lt;tabellen!$E$7,0,(+'wgl tot'!U77-tabellen!$E$7*'wgl tot'!H77)/12*tabellen!$D$7)</f>
        <v>#DIV/0!</v>
      </c>
      <c r="BH77" s="485">
        <f>'wgl tot'!U77/12*tabellen!$D$8</f>
        <v>0</v>
      </c>
      <c r="BI77" s="486" t="e">
        <f>SUM(BF77:BH77)</f>
        <v>#DIV/0!</v>
      </c>
      <c r="BJ77" s="487" t="e">
        <f>+(U77+V77)/12-'wgl tot'!BI77</f>
        <v>#DIV/0!</v>
      </c>
      <c r="BK77" s="487" t="e">
        <f>ROUND(IF('wgl tot'!BJ77&gt;tabellen!$H$11,tabellen!$H$11,'wgl tot'!BJ77)*tabellen!$C$11,2)</f>
        <v>#DIV/0!</v>
      </c>
      <c r="BL77" s="487" t="e">
        <f>+'wgl tot'!BJ77+'wgl tot'!BK77</f>
        <v>#DIV/0!</v>
      </c>
      <c r="BM77" s="488">
        <f t="shared" si="36"/>
        <v>1900</v>
      </c>
      <c r="BN77" s="488">
        <f t="shared" si="37"/>
        <v>1</v>
      </c>
      <c r="BO77" s="481">
        <f t="shared" si="38"/>
        <v>0</v>
      </c>
      <c r="BP77" s="464">
        <f t="shared" si="13"/>
        <v>22462</v>
      </c>
      <c r="BQ77" s="464">
        <f t="shared" ca="1" si="14"/>
        <v>43364.939215393519</v>
      </c>
      <c r="BR77" s="445"/>
      <c r="BS77" s="464"/>
      <c r="BT77" s="445"/>
      <c r="BU77" s="484"/>
      <c r="BV77" s="484"/>
      <c r="BW77" s="484"/>
      <c r="BX77" s="484"/>
      <c r="BY77" s="484"/>
      <c r="BZ77" s="484"/>
      <c r="CA77" s="436"/>
      <c r="CB77" s="436"/>
    </row>
    <row r="78" spans="1:80" s="447" customFormat="1" ht="12" customHeight="1" x14ac:dyDescent="0.2">
      <c r="A78" s="436"/>
      <c r="B78" s="437"/>
      <c r="C78" s="467"/>
      <c r="D78" s="473"/>
      <c r="E78" s="474"/>
      <c r="F78" s="475"/>
      <c r="G78" s="475"/>
      <c r="H78" s="476"/>
      <c r="I78" s="475"/>
      <c r="J78" s="477"/>
      <c r="K78" s="497">
        <f>IF(F78="",0,(VLOOKUP('wgl tot'!F78,saltab2019,'wgl tot'!G78+1,FALSE)))</f>
        <v>0</v>
      </c>
      <c r="L78" s="479">
        <f t="shared" si="30"/>
        <v>0</v>
      </c>
      <c r="M78" s="467"/>
      <c r="N78" s="497">
        <f>ROUND(IF(('wgl tot'!L78+'wgl tot'!P78)*BB78&lt;'wgl tot'!H78*tabellen!$D$43,'wgl tot'!H78*tabellen!$D$43,('wgl tot'!L78+'wgl tot'!P78)*BB78),2)</f>
        <v>0</v>
      </c>
      <c r="O78" s="497">
        <f>ROUND(+('wgl tot'!L78+'wgl tot'!P78)*BC78,2)</f>
        <v>0</v>
      </c>
      <c r="P78" s="497">
        <f>ROUND(IF(I78="j",VLOOKUP(AZ78,uitlooptoeslag,2,FALSE))*IF('wgl tot'!H78&gt;1,1,'wgl tot'!H78),2)</f>
        <v>0</v>
      </c>
      <c r="Q78" s="497">
        <f>ROUND(IF(BE78="j",tabellen!$D$52*IF('wgl tot'!H78&gt;1,1,'wgl tot'!H78),0),2)</f>
        <v>0</v>
      </c>
      <c r="R78" s="497">
        <f>IF(AND(F78&gt;0,F78&lt;17),tabellen!$C$37*'wgl tot'!H78,0)</f>
        <v>0</v>
      </c>
      <c r="S78" s="497">
        <f>VLOOKUP(BD78,eindejaarsuitkering_OOP,2,TRUE)*'wgl tot'!H78/12</f>
        <v>0</v>
      </c>
      <c r="T78" s="497">
        <f>ROUND('wgl tot'!H78*tabellen!$D$50,2)</f>
        <v>0</v>
      </c>
      <c r="U78" s="498">
        <f t="shared" si="31"/>
        <v>0</v>
      </c>
      <c r="V78" s="497">
        <f>('wgl tot'!L78+'wgl tot'!P78)*tabellen!$C$39*12</f>
        <v>0</v>
      </c>
      <c r="W78" s="479">
        <f t="shared" si="39"/>
        <v>0</v>
      </c>
      <c r="X78" s="467"/>
      <c r="Y78" s="498">
        <f t="shared" si="11"/>
        <v>0</v>
      </c>
      <c r="Z78" s="674">
        <f>+'wgl tot'!V78/12</f>
        <v>0</v>
      </c>
      <c r="AA78" s="467"/>
      <c r="AB78" s="497">
        <f>IF(F78="",0,(IF('wgl tot'!U78/'wgl tot'!H78&lt;tabellen!$E$6,0,('wgl tot'!U78-tabellen!$E$6*'wgl tot'!H78)/12)*tabellen!$C$6))</f>
        <v>0</v>
      </c>
      <c r="AC78" s="497">
        <f>IF(F78="",0,(IF('wgl tot'!U78/'wgl tot'!H78&lt;tabellen!$E$7,0,(+'wgl tot'!U78-tabellen!$E$7*'wgl tot'!H78)/12)*tabellen!$C$7))</f>
        <v>0</v>
      </c>
      <c r="AD78" s="497">
        <f>'wgl tot'!U78/12*tabellen!$C$8</f>
        <v>0</v>
      </c>
      <c r="AE78" s="497">
        <f>IF(H78=0,0,IF(BJ78&gt;tabellen!$G$9/12,tabellen!$G$9/12,BJ78)*(tabellen!$C$9+tabellen!$C$10))</f>
        <v>0</v>
      </c>
      <c r="AF78" s="497">
        <f>IF(F78="",0,('wgl tot'!BK78))</f>
        <v>0</v>
      </c>
      <c r="AG78" s="499">
        <f>IF(F78="",0,(IF('wgl tot'!BJ78&gt;tabellen!$G$12*'wgl tot'!H78/12,tabellen!$G$12*'wgl tot'!H78/12,'wgl tot'!BJ78)*tabellen!$C$12))</f>
        <v>0</v>
      </c>
      <c r="AH78" s="467"/>
      <c r="AI78" s="499">
        <f>IF(F78="",0,('wgl tot'!BJ78*IF(J78=1,tabellen!$C$13,IF(J78=2,tabellen!$C$14,IF(J78=3,tabellen!$C$15,tabellen!$C$16)))))</f>
        <v>0</v>
      </c>
      <c r="AJ78" s="499">
        <f>IF(F78="",0,('wgl tot'!BJ78*tabellen!$C$17))</f>
        <v>0</v>
      </c>
      <c r="AK78" s="679">
        <v>0</v>
      </c>
      <c r="AL78" s="467"/>
      <c r="AM78" s="479">
        <f t="shared" si="32"/>
        <v>0</v>
      </c>
      <c r="AN78" s="479">
        <f t="shared" si="12"/>
        <v>0</v>
      </c>
      <c r="AO78" s="467"/>
      <c r="AP78" s="503" t="str">
        <f t="shared" si="33"/>
        <v/>
      </c>
      <c r="AQ78" s="503" t="str">
        <f t="shared" si="34"/>
        <v/>
      </c>
      <c r="AR78" s="467"/>
      <c r="AS78" s="444"/>
      <c r="AT78" s="436"/>
      <c r="AU78" s="436"/>
      <c r="AV78" s="481">
        <f ca="1">YEAR('wgl tot'!$AV$9)-YEAR('wgl tot'!E78)</f>
        <v>118</v>
      </c>
      <c r="AW78" s="481">
        <f ca="1">MONTH('wgl tot'!$AV$9)-MONTH('wgl tot'!E78)</f>
        <v>8</v>
      </c>
      <c r="AX78" s="481">
        <f ca="1">DAY('wgl tot'!$AV$9)-DAY('wgl tot'!E78)</f>
        <v>21</v>
      </c>
      <c r="AY78" s="445">
        <f>IF(AND('wgl tot'!F78&gt;0,'wgl tot'!F78&lt;17),0,100)</f>
        <v>100</v>
      </c>
      <c r="AZ78" s="445">
        <f t="shared" si="35"/>
        <v>0</v>
      </c>
      <c r="BA78" s="464">
        <v>42583</v>
      </c>
      <c r="BB78" s="482">
        <f t="shared" si="15"/>
        <v>0.08</v>
      </c>
      <c r="BC78" s="483">
        <f>+tabellen!$D$44</f>
        <v>6.3E-2</v>
      </c>
      <c r="BD78" s="481">
        <f>IF('wgl tot'!AY78=100,0,'wgl tot'!F78)</f>
        <v>0</v>
      </c>
      <c r="BE78" s="483" t="str">
        <f>IF(OR('wgl tot'!F78="DA",'wgl tot'!F78="DB",'wgl tot'!F78="DBuit",'wgl tot'!F78="DC",'wgl tot'!F78="DCuit",MID('wgl tot'!F78,1,5)="meerh"),"j","n")</f>
        <v>n</v>
      </c>
      <c r="BF78" s="485" t="e">
        <f>IF('wgl tot'!U78/'wgl tot'!H78&lt;tabellen!$E$6,0,(+'wgl tot'!U78-tabellen!$E$6*'wgl tot'!H78)/12*tabellen!$D$6)</f>
        <v>#DIV/0!</v>
      </c>
      <c r="BG78" s="485" t="e">
        <f>IF('wgl tot'!U78/'wgl tot'!H78&lt;tabellen!$E$7,0,(+'wgl tot'!U78-tabellen!$E$7*'wgl tot'!H78)/12*tabellen!$D$7)</f>
        <v>#DIV/0!</v>
      </c>
      <c r="BH78" s="485">
        <f>'wgl tot'!U78/12*tabellen!$D$8</f>
        <v>0</v>
      </c>
      <c r="BI78" s="486" t="e">
        <f>SUM(BF78:BH78)</f>
        <v>#DIV/0!</v>
      </c>
      <c r="BJ78" s="487" t="e">
        <f>+(U78+V78)/12-'wgl tot'!BI78</f>
        <v>#DIV/0!</v>
      </c>
      <c r="BK78" s="487" t="e">
        <f>ROUND(IF('wgl tot'!BJ78&gt;tabellen!$H$11,tabellen!$H$11,'wgl tot'!BJ78)*tabellen!$C$11,2)</f>
        <v>#DIV/0!</v>
      </c>
      <c r="BL78" s="487" t="e">
        <f>+'wgl tot'!BJ78+'wgl tot'!BK78</f>
        <v>#DIV/0!</v>
      </c>
      <c r="BM78" s="488">
        <f t="shared" si="36"/>
        <v>1900</v>
      </c>
      <c r="BN78" s="488">
        <f t="shared" si="37"/>
        <v>1</v>
      </c>
      <c r="BO78" s="481">
        <f t="shared" si="38"/>
        <v>0</v>
      </c>
      <c r="BP78" s="464">
        <f t="shared" si="13"/>
        <v>22462</v>
      </c>
      <c r="BQ78" s="464">
        <f t="shared" ca="1" si="14"/>
        <v>43364.939215393519</v>
      </c>
      <c r="BR78" s="445"/>
      <c r="BS78" s="464"/>
      <c r="BT78" s="445"/>
      <c r="BU78" s="484"/>
      <c r="BV78" s="484"/>
      <c r="BW78" s="484"/>
      <c r="BX78" s="484"/>
      <c r="BY78" s="484"/>
      <c r="BZ78" s="484"/>
      <c r="CA78" s="436"/>
      <c r="CB78" s="436"/>
    </row>
    <row r="79" spans="1:80" s="447" customFormat="1" ht="12" customHeight="1" x14ac:dyDescent="0.2">
      <c r="A79" s="436"/>
      <c r="B79" s="437"/>
      <c r="C79" s="467"/>
      <c r="D79" s="473"/>
      <c r="E79" s="474"/>
      <c r="F79" s="475"/>
      <c r="G79" s="475"/>
      <c r="H79" s="476"/>
      <c r="I79" s="475"/>
      <c r="J79" s="477"/>
      <c r="K79" s="497">
        <f>IF(F79="",0,(VLOOKUP('wgl tot'!F79,saltab2019,'wgl tot'!G79+1,FALSE)))</f>
        <v>0</v>
      </c>
      <c r="L79" s="479">
        <f t="shared" si="30"/>
        <v>0</v>
      </c>
      <c r="M79" s="467"/>
      <c r="N79" s="497">
        <f>ROUND(IF(('wgl tot'!L79+'wgl tot'!P79)*BB79&lt;'wgl tot'!H79*tabellen!$D$43,'wgl tot'!H79*tabellen!$D$43,('wgl tot'!L79+'wgl tot'!P79)*BB79),2)</f>
        <v>0</v>
      </c>
      <c r="O79" s="497">
        <f>ROUND(+('wgl tot'!L79+'wgl tot'!P79)*BC79,2)</f>
        <v>0</v>
      </c>
      <c r="P79" s="497">
        <f>ROUND(IF(I79="j",VLOOKUP(AZ79,uitlooptoeslag,2,FALSE))*IF('wgl tot'!H79&gt;1,1,'wgl tot'!H79),2)</f>
        <v>0</v>
      </c>
      <c r="Q79" s="497">
        <f>ROUND(IF(BE79="j",tabellen!$D$52*IF('wgl tot'!H79&gt;1,1,'wgl tot'!H79),0),2)</f>
        <v>0</v>
      </c>
      <c r="R79" s="497">
        <f>IF(AND(F79&gt;0,F79&lt;17),tabellen!$C$37*'wgl tot'!H79,0)</f>
        <v>0</v>
      </c>
      <c r="S79" s="497">
        <f>VLOOKUP(BD79,eindejaarsuitkering_OOP,2,TRUE)*'wgl tot'!H79/12</f>
        <v>0</v>
      </c>
      <c r="T79" s="497">
        <f>ROUND('wgl tot'!H79*tabellen!$D$50,2)</f>
        <v>0</v>
      </c>
      <c r="U79" s="498">
        <f t="shared" si="31"/>
        <v>0</v>
      </c>
      <c r="V79" s="497">
        <f>('wgl tot'!L79+'wgl tot'!P79)*tabellen!$C$39*12</f>
        <v>0</v>
      </c>
      <c r="W79" s="479">
        <f t="shared" si="39"/>
        <v>0</v>
      </c>
      <c r="X79" s="467"/>
      <c r="Y79" s="498">
        <f t="shared" si="11"/>
        <v>0</v>
      </c>
      <c r="Z79" s="674">
        <f>+'wgl tot'!V79/12</f>
        <v>0</v>
      </c>
      <c r="AA79" s="467"/>
      <c r="AB79" s="497">
        <f>IF(F79="",0,(IF('wgl tot'!U79/'wgl tot'!H79&lt;tabellen!$E$6,0,('wgl tot'!U79-tabellen!$E$6*'wgl tot'!H79)/12)*tabellen!$C$6))</f>
        <v>0</v>
      </c>
      <c r="AC79" s="497">
        <f>IF(F79="",0,(IF('wgl tot'!U79/'wgl tot'!H79&lt;tabellen!$E$7,0,(+'wgl tot'!U79-tabellen!$E$7*'wgl tot'!H79)/12)*tabellen!$C$7))</f>
        <v>0</v>
      </c>
      <c r="AD79" s="497">
        <f>'wgl tot'!U79/12*tabellen!$C$8</f>
        <v>0</v>
      </c>
      <c r="AE79" s="497">
        <f>IF(H79=0,0,IF(BJ79&gt;tabellen!$G$9/12,tabellen!$G$9/12,BJ79)*(tabellen!$C$9+tabellen!$C$10))</f>
        <v>0</v>
      </c>
      <c r="AF79" s="497">
        <f>IF(F79="",0,('wgl tot'!BK79))</f>
        <v>0</v>
      </c>
      <c r="AG79" s="499">
        <f>IF(F79="",0,(IF('wgl tot'!BJ79&gt;tabellen!$G$12*'wgl tot'!H79/12,tabellen!$G$12*'wgl tot'!H79/12,'wgl tot'!BJ79)*tabellen!$C$12))</f>
        <v>0</v>
      </c>
      <c r="AH79" s="467"/>
      <c r="AI79" s="499">
        <f>IF(F79="",0,('wgl tot'!BJ79*IF(J79=1,tabellen!$C$13,IF(J79=2,tabellen!$C$14,IF(J79=3,tabellen!$C$15,tabellen!$C$16)))))</f>
        <v>0</v>
      </c>
      <c r="AJ79" s="499">
        <f>IF(F79="",0,('wgl tot'!BJ79*tabellen!$C$17))</f>
        <v>0</v>
      </c>
      <c r="AK79" s="679">
        <v>0</v>
      </c>
      <c r="AL79" s="467"/>
      <c r="AM79" s="479">
        <f t="shared" si="32"/>
        <v>0</v>
      </c>
      <c r="AN79" s="479">
        <f t="shared" si="12"/>
        <v>0</v>
      </c>
      <c r="AO79" s="467"/>
      <c r="AP79" s="503" t="str">
        <f t="shared" si="33"/>
        <v/>
      </c>
      <c r="AQ79" s="503" t="str">
        <f t="shared" si="34"/>
        <v/>
      </c>
      <c r="AR79" s="467"/>
      <c r="AS79" s="444"/>
      <c r="AT79" s="436"/>
      <c r="AU79" s="436"/>
      <c r="AV79" s="481">
        <f ca="1">YEAR('wgl tot'!$AV$9)-YEAR('wgl tot'!E79)</f>
        <v>118</v>
      </c>
      <c r="AW79" s="481">
        <f ca="1">MONTH('wgl tot'!$AV$9)-MONTH('wgl tot'!E79)</f>
        <v>8</v>
      </c>
      <c r="AX79" s="481">
        <f ca="1">DAY('wgl tot'!$AV$9)-DAY('wgl tot'!E79)</f>
        <v>21</v>
      </c>
      <c r="AY79" s="445">
        <f>IF(AND('wgl tot'!F79&gt;0,'wgl tot'!F79&lt;17),0,100)</f>
        <v>100</v>
      </c>
      <c r="AZ79" s="445">
        <f t="shared" si="35"/>
        <v>0</v>
      </c>
      <c r="BA79" s="464">
        <v>42583</v>
      </c>
      <c r="BB79" s="482">
        <f t="shared" si="15"/>
        <v>0.08</v>
      </c>
      <c r="BC79" s="483">
        <f>+tabellen!$D$44</f>
        <v>6.3E-2</v>
      </c>
      <c r="BD79" s="481">
        <f>IF('wgl tot'!AY79=100,0,'wgl tot'!F79)</f>
        <v>0</v>
      </c>
      <c r="BE79" s="483" t="str">
        <f>IF(OR('wgl tot'!F79="DA",'wgl tot'!F79="DB",'wgl tot'!F79="DBuit",'wgl tot'!F79="DC",'wgl tot'!F79="DCuit",MID('wgl tot'!F79,1,5)="meerh"),"j","n")</f>
        <v>n</v>
      </c>
      <c r="BF79" s="485" t="e">
        <f>IF('wgl tot'!U79/'wgl tot'!H79&lt;tabellen!$E$6,0,(+'wgl tot'!U79-tabellen!$E$6*'wgl tot'!H79)/12*tabellen!$D$6)</f>
        <v>#DIV/0!</v>
      </c>
      <c r="BG79" s="485" t="e">
        <f>IF('wgl tot'!U79/'wgl tot'!H79&lt;tabellen!$E$7,0,(+'wgl tot'!U79-tabellen!$E$7*'wgl tot'!H79)/12*tabellen!$D$7)</f>
        <v>#DIV/0!</v>
      </c>
      <c r="BH79" s="485">
        <f>'wgl tot'!U79/12*tabellen!$D$8</f>
        <v>0</v>
      </c>
      <c r="BI79" s="486" t="e">
        <f>SUM(BF79:BH79)</f>
        <v>#DIV/0!</v>
      </c>
      <c r="BJ79" s="487" t="e">
        <f>+(U79+V79)/12-'wgl tot'!BI79</f>
        <v>#DIV/0!</v>
      </c>
      <c r="BK79" s="487" t="e">
        <f>ROUND(IF('wgl tot'!BJ79&gt;tabellen!$H$11,tabellen!$H$11,'wgl tot'!BJ79)*tabellen!$C$11,2)</f>
        <v>#DIV/0!</v>
      </c>
      <c r="BL79" s="487" t="e">
        <f>+'wgl tot'!BJ79+'wgl tot'!BK79</f>
        <v>#DIV/0!</v>
      </c>
      <c r="BM79" s="488">
        <f t="shared" si="36"/>
        <v>1900</v>
      </c>
      <c r="BN79" s="488">
        <f t="shared" si="37"/>
        <v>1</v>
      </c>
      <c r="BO79" s="481">
        <f t="shared" si="38"/>
        <v>0</v>
      </c>
      <c r="BP79" s="464">
        <f t="shared" si="13"/>
        <v>22462</v>
      </c>
      <c r="BQ79" s="464">
        <f t="shared" ca="1" si="14"/>
        <v>43364.939215393519</v>
      </c>
      <c r="BR79" s="445"/>
      <c r="BS79" s="464"/>
      <c r="BT79" s="445"/>
      <c r="BU79" s="484"/>
      <c r="BV79" s="484"/>
      <c r="BW79" s="484"/>
      <c r="BX79" s="484"/>
      <c r="BY79" s="484"/>
      <c r="BZ79" s="484"/>
      <c r="CA79" s="436"/>
      <c r="CB79" s="436"/>
    </row>
    <row r="80" spans="1:80" s="447" customFormat="1" ht="12" customHeight="1" x14ac:dyDescent="0.2">
      <c r="A80" s="436"/>
      <c r="B80" s="437"/>
      <c r="C80" s="467"/>
      <c r="D80" s="473"/>
      <c r="E80" s="474"/>
      <c r="F80" s="475"/>
      <c r="G80" s="475"/>
      <c r="H80" s="476"/>
      <c r="I80" s="475"/>
      <c r="J80" s="477"/>
      <c r="K80" s="497">
        <f>IF(F80="",0,(VLOOKUP('wgl tot'!F80,saltab2019,'wgl tot'!G80+1,FALSE)))</f>
        <v>0</v>
      </c>
      <c r="L80" s="479">
        <f t="shared" si="30"/>
        <v>0</v>
      </c>
      <c r="M80" s="467"/>
      <c r="N80" s="497">
        <f>ROUND(IF(('wgl tot'!L80+'wgl tot'!P80)*BB80&lt;'wgl tot'!H80*tabellen!$D$43,'wgl tot'!H80*tabellen!$D$43,('wgl tot'!L80+'wgl tot'!P80)*BB80),2)</f>
        <v>0</v>
      </c>
      <c r="O80" s="497">
        <f>ROUND(+('wgl tot'!L80+'wgl tot'!P80)*BC80,2)</f>
        <v>0</v>
      </c>
      <c r="P80" s="497">
        <f>ROUND(IF(I80="j",VLOOKUP(AZ80,uitlooptoeslag,2,FALSE))*IF('wgl tot'!H80&gt;1,1,'wgl tot'!H80),2)</f>
        <v>0</v>
      </c>
      <c r="Q80" s="497">
        <f>ROUND(IF(BE80="j",tabellen!$D$52*IF('wgl tot'!H80&gt;1,1,'wgl tot'!H80),0),2)</f>
        <v>0</v>
      </c>
      <c r="R80" s="497">
        <f>IF(AND(F80&gt;0,F80&lt;17),tabellen!$C$37*'wgl tot'!H80,0)</f>
        <v>0</v>
      </c>
      <c r="S80" s="497">
        <f>VLOOKUP(BD80,eindejaarsuitkering_OOP,2,TRUE)*'wgl tot'!H80/12</f>
        <v>0</v>
      </c>
      <c r="T80" s="497">
        <f>ROUND('wgl tot'!H80*tabellen!$D$50,2)</f>
        <v>0</v>
      </c>
      <c r="U80" s="498">
        <f t="shared" si="31"/>
        <v>0</v>
      </c>
      <c r="V80" s="497">
        <f>('wgl tot'!L80+'wgl tot'!P80)*tabellen!$C$39*12</f>
        <v>0</v>
      </c>
      <c r="W80" s="479">
        <f t="shared" si="39"/>
        <v>0</v>
      </c>
      <c r="X80" s="467"/>
      <c r="Y80" s="498">
        <f t="shared" si="11"/>
        <v>0</v>
      </c>
      <c r="Z80" s="674">
        <f>+'wgl tot'!V80/12</f>
        <v>0</v>
      </c>
      <c r="AA80" s="467"/>
      <c r="AB80" s="497">
        <f>IF(F80="",0,(IF('wgl tot'!U80/'wgl tot'!H80&lt;tabellen!$E$6,0,('wgl tot'!U80-tabellen!$E$6*'wgl tot'!H80)/12)*tabellen!$C$6))</f>
        <v>0</v>
      </c>
      <c r="AC80" s="497">
        <f>IF(F80="",0,(IF('wgl tot'!U80/'wgl tot'!H80&lt;tabellen!$E$7,0,(+'wgl tot'!U80-tabellen!$E$7*'wgl tot'!H80)/12)*tabellen!$C$7))</f>
        <v>0</v>
      </c>
      <c r="AD80" s="497">
        <f>'wgl tot'!U80/12*tabellen!$C$8</f>
        <v>0</v>
      </c>
      <c r="AE80" s="497">
        <f>IF(H80=0,0,IF(BJ80&gt;tabellen!$G$9/12,tabellen!$G$9/12,BJ80)*(tabellen!$C$9+tabellen!$C$10))</f>
        <v>0</v>
      </c>
      <c r="AF80" s="497">
        <f>IF(F80="",0,('wgl tot'!BK80))</f>
        <v>0</v>
      </c>
      <c r="AG80" s="499">
        <f>IF(F80="",0,(IF('wgl tot'!BJ80&gt;tabellen!$G$12*'wgl tot'!H80/12,tabellen!$G$12*'wgl tot'!H80/12,'wgl tot'!BJ80)*tabellen!$C$12))</f>
        <v>0</v>
      </c>
      <c r="AH80" s="467"/>
      <c r="AI80" s="499">
        <f>IF(F80="",0,('wgl tot'!BJ80*IF(J80=1,tabellen!$C$13,IF(J80=2,tabellen!$C$14,IF(J80=3,tabellen!$C$15,tabellen!$C$16)))))</f>
        <v>0</v>
      </c>
      <c r="AJ80" s="499">
        <f>IF(F80="",0,('wgl tot'!BJ80*tabellen!$C$17))</f>
        <v>0</v>
      </c>
      <c r="AK80" s="679">
        <v>0</v>
      </c>
      <c r="AL80" s="467"/>
      <c r="AM80" s="479">
        <f t="shared" si="32"/>
        <v>0</v>
      </c>
      <c r="AN80" s="479">
        <f t="shared" si="12"/>
        <v>0</v>
      </c>
      <c r="AO80" s="467"/>
      <c r="AP80" s="503" t="str">
        <f t="shared" si="33"/>
        <v/>
      </c>
      <c r="AQ80" s="503" t="str">
        <f t="shared" si="34"/>
        <v/>
      </c>
      <c r="AR80" s="467"/>
      <c r="AS80" s="444"/>
      <c r="AT80" s="436"/>
      <c r="AU80" s="436"/>
      <c r="AV80" s="481">
        <f ca="1">YEAR('wgl tot'!$AV$9)-YEAR('wgl tot'!E80)</f>
        <v>118</v>
      </c>
      <c r="AW80" s="481">
        <f ca="1">MONTH('wgl tot'!$AV$9)-MONTH('wgl tot'!E80)</f>
        <v>8</v>
      </c>
      <c r="AX80" s="481">
        <f ca="1">DAY('wgl tot'!$AV$9)-DAY('wgl tot'!E80)</f>
        <v>21</v>
      </c>
      <c r="AY80" s="445">
        <f>IF(AND('wgl tot'!F80&gt;0,'wgl tot'!F80&lt;17),0,100)</f>
        <v>100</v>
      </c>
      <c r="AZ80" s="445">
        <f t="shared" si="35"/>
        <v>0</v>
      </c>
      <c r="BA80" s="464">
        <v>42583</v>
      </c>
      <c r="BB80" s="482">
        <f t="shared" si="15"/>
        <v>0.08</v>
      </c>
      <c r="BC80" s="483">
        <f>+tabellen!$D$44</f>
        <v>6.3E-2</v>
      </c>
      <c r="BD80" s="481">
        <f>IF('wgl tot'!AY80=100,0,'wgl tot'!F80)</f>
        <v>0</v>
      </c>
      <c r="BE80" s="483" t="str">
        <f>IF(OR('wgl tot'!F80="DA",'wgl tot'!F80="DB",'wgl tot'!F80="DBuit",'wgl tot'!F80="DC",'wgl tot'!F80="DCuit",MID('wgl tot'!F80,1,5)="meerh"),"j","n")</f>
        <v>n</v>
      </c>
      <c r="BF80" s="485" t="e">
        <f>IF('wgl tot'!U80/'wgl tot'!H80&lt;tabellen!$E$6,0,(+'wgl tot'!U80-tabellen!$E$6*'wgl tot'!H80)/12*tabellen!$D$6)</f>
        <v>#DIV/0!</v>
      </c>
      <c r="BG80" s="485" t="e">
        <f>IF('wgl tot'!U80/'wgl tot'!H80&lt;tabellen!$E$7,0,(+'wgl tot'!U80-tabellen!$E$7*'wgl tot'!H80)/12*tabellen!$D$7)</f>
        <v>#DIV/0!</v>
      </c>
      <c r="BH80" s="485">
        <f>'wgl tot'!U80/12*tabellen!$D$8</f>
        <v>0</v>
      </c>
      <c r="BI80" s="486" t="e">
        <f>SUM(BF80:BH80)</f>
        <v>#DIV/0!</v>
      </c>
      <c r="BJ80" s="487" t="e">
        <f>+(U80+V80)/12-'wgl tot'!BI80</f>
        <v>#DIV/0!</v>
      </c>
      <c r="BK80" s="487" t="e">
        <f>ROUND(IF('wgl tot'!BJ80&gt;tabellen!$H$11,tabellen!$H$11,'wgl tot'!BJ80)*tabellen!$C$11,2)</f>
        <v>#DIV/0!</v>
      </c>
      <c r="BL80" s="487" t="e">
        <f>+'wgl tot'!BJ80+'wgl tot'!BK80</f>
        <v>#DIV/0!</v>
      </c>
      <c r="BM80" s="488">
        <f t="shared" si="36"/>
        <v>1900</v>
      </c>
      <c r="BN80" s="488">
        <f t="shared" si="37"/>
        <v>1</v>
      </c>
      <c r="BO80" s="481">
        <f t="shared" si="38"/>
        <v>0</v>
      </c>
      <c r="BP80" s="464">
        <f t="shared" si="13"/>
        <v>22462</v>
      </c>
      <c r="BQ80" s="464">
        <f t="shared" ca="1" si="14"/>
        <v>43364.939215393519</v>
      </c>
      <c r="BR80" s="445"/>
      <c r="BS80" s="464"/>
      <c r="BT80" s="445"/>
      <c r="BU80" s="484"/>
      <c r="BV80" s="484"/>
      <c r="BW80" s="484"/>
      <c r="BX80" s="484"/>
      <c r="BY80" s="484"/>
      <c r="BZ80" s="484"/>
      <c r="CA80" s="436"/>
      <c r="CB80" s="436"/>
    </row>
    <row r="81" spans="1:80" s="447" customFormat="1" ht="12" customHeight="1" x14ac:dyDescent="0.2">
      <c r="A81" s="436"/>
      <c r="B81" s="437"/>
      <c r="C81" s="467"/>
      <c r="D81" s="473"/>
      <c r="E81" s="474"/>
      <c r="F81" s="475"/>
      <c r="G81" s="475"/>
      <c r="H81" s="476"/>
      <c r="I81" s="475"/>
      <c r="J81" s="477"/>
      <c r="K81" s="497">
        <f>IF(F81="",0,(VLOOKUP('wgl tot'!F81,saltab2019,'wgl tot'!G81+1,FALSE)))</f>
        <v>0</v>
      </c>
      <c r="L81" s="479">
        <f t="shared" si="30"/>
        <v>0</v>
      </c>
      <c r="M81" s="467"/>
      <c r="N81" s="497">
        <f>ROUND(IF(('wgl tot'!L81+'wgl tot'!P81)*BB81&lt;'wgl tot'!H81*tabellen!$D$43,'wgl tot'!H81*tabellen!$D$43,('wgl tot'!L81+'wgl tot'!P81)*BB81),2)</f>
        <v>0</v>
      </c>
      <c r="O81" s="497">
        <f>ROUND(+('wgl tot'!L81+'wgl tot'!P81)*BC81,2)</f>
        <v>0</v>
      </c>
      <c r="P81" s="497">
        <f>ROUND(IF(I81="j",VLOOKUP(AZ81,uitlooptoeslag,2,FALSE))*IF('wgl tot'!H81&gt;1,1,'wgl tot'!H81),2)</f>
        <v>0</v>
      </c>
      <c r="Q81" s="497">
        <f>ROUND(IF(BE81="j",tabellen!$D$52*IF('wgl tot'!H81&gt;1,1,'wgl tot'!H81),0),2)</f>
        <v>0</v>
      </c>
      <c r="R81" s="497">
        <f>IF(AND(F81&gt;0,F81&lt;17),tabellen!$C$37*'wgl tot'!H81,0)</f>
        <v>0</v>
      </c>
      <c r="S81" s="497">
        <f>VLOOKUP(BD81,eindejaarsuitkering_OOP,2,TRUE)*'wgl tot'!H81/12</f>
        <v>0</v>
      </c>
      <c r="T81" s="497">
        <f>ROUND('wgl tot'!H81*tabellen!$D$50,2)</f>
        <v>0</v>
      </c>
      <c r="U81" s="498">
        <f t="shared" si="31"/>
        <v>0</v>
      </c>
      <c r="V81" s="497">
        <f>('wgl tot'!L81+'wgl tot'!P81)*tabellen!$C$39*12</f>
        <v>0</v>
      </c>
      <c r="W81" s="479">
        <f t="shared" si="39"/>
        <v>0</v>
      </c>
      <c r="X81" s="467"/>
      <c r="Y81" s="498">
        <f t="shared" si="11"/>
        <v>0</v>
      </c>
      <c r="Z81" s="674">
        <f>+'wgl tot'!V81/12</f>
        <v>0</v>
      </c>
      <c r="AA81" s="467"/>
      <c r="AB81" s="497">
        <f>IF(F81="",0,(IF('wgl tot'!U81/'wgl tot'!H81&lt;tabellen!$E$6,0,('wgl tot'!U81-tabellen!$E$6*'wgl tot'!H81)/12)*tabellen!$C$6))</f>
        <v>0</v>
      </c>
      <c r="AC81" s="497">
        <f>IF(F81="",0,(IF('wgl tot'!U81/'wgl tot'!H81&lt;tabellen!$E$7,0,(+'wgl tot'!U81-tabellen!$E$7*'wgl tot'!H81)/12)*tabellen!$C$7))</f>
        <v>0</v>
      </c>
      <c r="AD81" s="497">
        <f>'wgl tot'!U81/12*tabellen!$C$8</f>
        <v>0</v>
      </c>
      <c r="AE81" s="497">
        <f>IF(H81=0,0,IF(BJ81&gt;tabellen!$G$9/12,tabellen!$G$9/12,BJ81)*(tabellen!$C$9+tabellen!$C$10))</f>
        <v>0</v>
      </c>
      <c r="AF81" s="497">
        <f>IF(F81="",0,('wgl tot'!BK81))</f>
        <v>0</v>
      </c>
      <c r="AG81" s="499">
        <f>IF(F81="",0,(IF('wgl tot'!BJ81&gt;tabellen!$G$12*'wgl tot'!H81/12,tabellen!$G$12*'wgl tot'!H81/12,'wgl tot'!BJ81)*tabellen!$C$12))</f>
        <v>0</v>
      </c>
      <c r="AH81" s="467"/>
      <c r="AI81" s="499">
        <f>IF(F81="",0,('wgl tot'!BJ81*IF(J81=1,tabellen!$C$13,IF(J81=2,tabellen!$C$14,IF(J81=3,tabellen!$C$15,tabellen!$C$16)))))</f>
        <v>0</v>
      </c>
      <c r="AJ81" s="499">
        <f>IF(F81="",0,('wgl tot'!BJ81*tabellen!$C$17))</f>
        <v>0</v>
      </c>
      <c r="AK81" s="679">
        <v>0</v>
      </c>
      <c r="AL81" s="467"/>
      <c r="AM81" s="479">
        <f t="shared" si="32"/>
        <v>0</v>
      </c>
      <c r="AN81" s="479">
        <f t="shared" si="12"/>
        <v>0</v>
      </c>
      <c r="AO81" s="467"/>
      <c r="AP81" s="503" t="str">
        <f t="shared" si="33"/>
        <v/>
      </c>
      <c r="AQ81" s="503" t="str">
        <f t="shared" si="34"/>
        <v/>
      </c>
      <c r="AR81" s="467"/>
      <c r="AS81" s="444"/>
      <c r="AT81" s="436"/>
      <c r="AU81" s="436"/>
      <c r="AV81" s="481">
        <f ca="1">YEAR('wgl tot'!$AV$9)-YEAR('wgl tot'!E81)</f>
        <v>118</v>
      </c>
      <c r="AW81" s="481">
        <f ca="1">MONTH('wgl tot'!$AV$9)-MONTH('wgl tot'!E81)</f>
        <v>8</v>
      </c>
      <c r="AX81" s="481">
        <f ca="1">DAY('wgl tot'!$AV$9)-DAY('wgl tot'!E81)</f>
        <v>21</v>
      </c>
      <c r="AY81" s="445">
        <f>IF(AND('wgl tot'!F81&gt;0,'wgl tot'!F81&lt;17),0,100)</f>
        <v>100</v>
      </c>
      <c r="AZ81" s="445">
        <f t="shared" si="35"/>
        <v>0</v>
      </c>
      <c r="BA81" s="464">
        <v>42583</v>
      </c>
      <c r="BB81" s="482">
        <f t="shared" si="15"/>
        <v>0.08</v>
      </c>
      <c r="BC81" s="483">
        <f>+tabellen!$D$44</f>
        <v>6.3E-2</v>
      </c>
      <c r="BD81" s="481">
        <f>IF('wgl tot'!AY81=100,0,'wgl tot'!F81)</f>
        <v>0</v>
      </c>
      <c r="BE81" s="483" t="str">
        <f>IF(OR('wgl tot'!F81="DA",'wgl tot'!F81="DB",'wgl tot'!F81="DBuit",'wgl tot'!F81="DC",'wgl tot'!F81="DCuit",MID('wgl tot'!F81,1,5)="meerh"),"j","n")</f>
        <v>n</v>
      </c>
      <c r="BF81" s="485" t="e">
        <f>IF('wgl tot'!U81/'wgl tot'!H81&lt;tabellen!$E$6,0,(+'wgl tot'!U81-tabellen!$E$6*'wgl tot'!H81)/12*tabellen!$D$6)</f>
        <v>#DIV/0!</v>
      </c>
      <c r="BG81" s="485" t="e">
        <f>IF('wgl tot'!U81/'wgl tot'!H81&lt;tabellen!$E$7,0,(+'wgl tot'!U81-tabellen!$E$7*'wgl tot'!H81)/12*tabellen!$D$7)</f>
        <v>#DIV/0!</v>
      </c>
      <c r="BH81" s="485">
        <f>'wgl tot'!U81/12*tabellen!$D$8</f>
        <v>0</v>
      </c>
      <c r="BI81" s="486" t="e">
        <f t="shared" si="16"/>
        <v>#DIV/0!</v>
      </c>
      <c r="BJ81" s="487" t="e">
        <f>+(U81+V81)/12-'wgl tot'!BI81</f>
        <v>#DIV/0!</v>
      </c>
      <c r="BK81" s="487" t="e">
        <f>ROUND(IF('wgl tot'!BJ81&gt;tabellen!$H$11,tabellen!$H$11,'wgl tot'!BJ81)*tabellen!$C$11,2)</f>
        <v>#DIV/0!</v>
      </c>
      <c r="BL81" s="487" t="e">
        <f>+'wgl tot'!BJ81+'wgl tot'!BK81</f>
        <v>#DIV/0!</v>
      </c>
      <c r="BM81" s="488">
        <f t="shared" si="36"/>
        <v>1900</v>
      </c>
      <c r="BN81" s="488">
        <f t="shared" si="37"/>
        <v>1</v>
      </c>
      <c r="BO81" s="481">
        <f t="shared" si="38"/>
        <v>0</v>
      </c>
      <c r="BP81" s="464">
        <f t="shared" si="13"/>
        <v>22462</v>
      </c>
      <c r="BQ81" s="464">
        <f t="shared" ca="1" si="14"/>
        <v>43364.939215393519</v>
      </c>
      <c r="BR81" s="445"/>
      <c r="BS81" s="464"/>
      <c r="BT81" s="445"/>
      <c r="BU81" s="484"/>
      <c r="BV81" s="484"/>
      <c r="BW81" s="484"/>
      <c r="BX81" s="484"/>
      <c r="BY81" s="484"/>
      <c r="BZ81" s="484"/>
      <c r="CA81" s="436"/>
      <c r="CB81" s="436"/>
    </row>
    <row r="82" spans="1:80" s="447" customFormat="1" ht="12" customHeight="1" x14ac:dyDescent="0.2">
      <c r="A82" s="436"/>
      <c r="B82" s="437"/>
      <c r="C82" s="467"/>
      <c r="D82" s="473"/>
      <c r="E82" s="474"/>
      <c r="F82" s="475"/>
      <c r="G82" s="475"/>
      <c r="H82" s="476"/>
      <c r="I82" s="475"/>
      <c r="J82" s="477"/>
      <c r="K82" s="497">
        <f>IF(F82="",0,(VLOOKUP('wgl tot'!F82,saltab2019,'wgl tot'!G82+1,FALSE)))</f>
        <v>0</v>
      </c>
      <c r="L82" s="479">
        <f t="shared" si="30"/>
        <v>0</v>
      </c>
      <c r="M82" s="467"/>
      <c r="N82" s="497">
        <f>ROUND(IF(('wgl tot'!L82+'wgl tot'!P82)*BB82&lt;'wgl tot'!H82*tabellen!$D$43,'wgl tot'!H82*tabellen!$D$43,('wgl tot'!L82+'wgl tot'!P82)*BB82),2)</f>
        <v>0</v>
      </c>
      <c r="O82" s="497">
        <f>ROUND(+('wgl tot'!L82+'wgl tot'!P82)*BC82,2)</f>
        <v>0</v>
      </c>
      <c r="P82" s="497">
        <f>ROUND(IF(I82="j",VLOOKUP(AZ82,uitlooptoeslag,2,FALSE))*IF('wgl tot'!H82&gt;1,1,'wgl tot'!H82),2)</f>
        <v>0</v>
      </c>
      <c r="Q82" s="497">
        <f>ROUND(IF(BE82="j",tabellen!$D$52*IF('wgl tot'!H82&gt;1,1,'wgl tot'!H82),0),2)</f>
        <v>0</v>
      </c>
      <c r="R82" s="497">
        <f>IF(AND(F82&gt;0,F82&lt;17),tabellen!$C$37*'wgl tot'!H82,0)</f>
        <v>0</v>
      </c>
      <c r="S82" s="497">
        <f>VLOOKUP(BD82,eindejaarsuitkering_OOP,2,TRUE)*'wgl tot'!H82/12</f>
        <v>0</v>
      </c>
      <c r="T82" s="497">
        <f>ROUND('wgl tot'!H82*tabellen!$D$50,2)</f>
        <v>0</v>
      </c>
      <c r="U82" s="498">
        <f t="shared" si="31"/>
        <v>0</v>
      </c>
      <c r="V82" s="497">
        <f>('wgl tot'!L82+'wgl tot'!P82)*tabellen!$C$39*12</f>
        <v>0</v>
      </c>
      <c r="W82" s="479">
        <f t="shared" si="39"/>
        <v>0</v>
      </c>
      <c r="X82" s="467"/>
      <c r="Y82" s="498">
        <f t="shared" si="11"/>
        <v>0</v>
      </c>
      <c r="Z82" s="674">
        <f>+'wgl tot'!V82/12</f>
        <v>0</v>
      </c>
      <c r="AA82" s="467"/>
      <c r="AB82" s="497">
        <f>IF(F82="",0,(IF('wgl tot'!U82/'wgl tot'!H82&lt;tabellen!$E$6,0,('wgl tot'!U82-tabellen!$E$6*'wgl tot'!H82)/12)*tabellen!$C$6))</f>
        <v>0</v>
      </c>
      <c r="AC82" s="497">
        <f>IF(F82="",0,(IF('wgl tot'!U82/'wgl tot'!H82&lt;tabellen!$E$7,0,(+'wgl tot'!U82-tabellen!$E$7*'wgl tot'!H82)/12)*tabellen!$C$7))</f>
        <v>0</v>
      </c>
      <c r="AD82" s="497">
        <f>'wgl tot'!U82/12*tabellen!$C$8</f>
        <v>0</v>
      </c>
      <c r="AE82" s="497">
        <f>IF(H82=0,0,IF(BJ82&gt;tabellen!$G$9/12,tabellen!$G$9/12,BJ82)*(tabellen!$C$9+tabellen!$C$10))</f>
        <v>0</v>
      </c>
      <c r="AF82" s="497">
        <f>IF(F82="",0,('wgl tot'!BK82))</f>
        <v>0</v>
      </c>
      <c r="AG82" s="499">
        <f>IF(F82="",0,(IF('wgl tot'!BJ82&gt;tabellen!$G$12*'wgl tot'!H82/12,tabellen!$G$12*'wgl tot'!H82/12,'wgl tot'!BJ82)*tabellen!$C$12))</f>
        <v>0</v>
      </c>
      <c r="AH82" s="467"/>
      <c r="AI82" s="499">
        <f>IF(F82="",0,('wgl tot'!BJ82*IF(J82=1,tabellen!$C$13,IF(J82=2,tabellen!$C$14,IF(J82=3,tabellen!$C$15,tabellen!$C$16)))))</f>
        <v>0</v>
      </c>
      <c r="AJ82" s="499">
        <f>IF(F82="",0,('wgl tot'!BJ82*tabellen!$C$17))</f>
        <v>0</v>
      </c>
      <c r="AK82" s="679">
        <v>0</v>
      </c>
      <c r="AL82" s="467"/>
      <c r="AM82" s="479">
        <f t="shared" si="32"/>
        <v>0</v>
      </c>
      <c r="AN82" s="479">
        <f t="shared" si="12"/>
        <v>0</v>
      </c>
      <c r="AO82" s="467"/>
      <c r="AP82" s="503" t="str">
        <f t="shared" si="33"/>
        <v/>
      </c>
      <c r="AQ82" s="503" t="str">
        <f t="shared" si="34"/>
        <v/>
      </c>
      <c r="AR82" s="467"/>
      <c r="AS82" s="444"/>
      <c r="AT82" s="436"/>
      <c r="AU82" s="436"/>
      <c r="AV82" s="481">
        <f ca="1">YEAR('wgl tot'!$AV$9)-YEAR('wgl tot'!E82)</f>
        <v>118</v>
      </c>
      <c r="AW82" s="481">
        <f ca="1">MONTH('wgl tot'!$AV$9)-MONTH('wgl tot'!E82)</f>
        <v>8</v>
      </c>
      <c r="AX82" s="481">
        <f ca="1">DAY('wgl tot'!$AV$9)-DAY('wgl tot'!E82)</f>
        <v>21</v>
      </c>
      <c r="AY82" s="445">
        <f>IF(AND('wgl tot'!F82&gt;0,'wgl tot'!F82&lt;17),0,100)</f>
        <v>100</v>
      </c>
      <c r="AZ82" s="445">
        <f t="shared" si="35"/>
        <v>0</v>
      </c>
      <c r="BA82" s="464">
        <v>42583</v>
      </c>
      <c r="BB82" s="482">
        <f t="shared" si="15"/>
        <v>0.08</v>
      </c>
      <c r="BC82" s="483">
        <f>+tabellen!$D$44</f>
        <v>6.3E-2</v>
      </c>
      <c r="BD82" s="481">
        <f>IF('wgl tot'!AY82=100,0,'wgl tot'!F82)</f>
        <v>0</v>
      </c>
      <c r="BE82" s="483" t="str">
        <f>IF(OR('wgl tot'!F82="DA",'wgl tot'!F82="DB",'wgl tot'!F82="DBuit",'wgl tot'!F82="DC",'wgl tot'!F82="DCuit",MID('wgl tot'!F82,1,5)="meerh"),"j","n")</f>
        <v>n</v>
      </c>
      <c r="BF82" s="485" t="e">
        <f>IF('wgl tot'!U82/'wgl tot'!H82&lt;tabellen!$E$6,0,(+'wgl tot'!U82-tabellen!$E$6*'wgl tot'!H82)/12*tabellen!$D$6)</f>
        <v>#DIV/0!</v>
      </c>
      <c r="BG82" s="485" t="e">
        <f>IF('wgl tot'!U82/'wgl tot'!H82&lt;tabellen!$E$7,0,(+'wgl tot'!U82-tabellen!$E$7*'wgl tot'!H82)/12*tabellen!$D$7)</f>
        <v>#DIV/0!</v>
      </c>
      <c r="BH82" s="485">
        <f>'wgl tot'!U82/12*tabellen!$D$8</f>
        <v>0</v>
      </c>
      <c r="BI82" s="486" t="e">
        <f t="shared" si="16"/>
        <v>#DIV/0!</v>
      </c>
      <c r="BJ82" s="487" t="e">
        <f>+(U82+V82)/12-'wgl tot'!BI82</f>
        <v>#DIV/0!</v>
      </c>
      <c r="BK82" s="487" t="e">
        <f>ROUND(IF('wgl tot'!BJ82&gt;tabellen!$H$11,tabellen!$H$11,'wgl tot'!BJ82)*tabellen!$C$11,2)</f>
        <v>#DIV/0!</v>
      </c>
      <c r="BL82" s="487" t="e">
        <f>+'wgl tot'!BJ82+'wgl tot'!BK82</f>
        <v>#DIV/0!</v>
      </c>
      <c r="BM82" s="488">
        <f t="shared" si="36"/>
        <v>1900</v>
      </c>
      <c r="BN82" s="488">
        <f t="shared" si="37"/>
        <v>1</v>
      </c>
      <c r="BO82" s="481">
        <f t="shared" si="38"/>
        <v>0</v>
      </c>
      <c r="BP82" s="464">
        <f t="shared" si="13"/>
        <v>22462</v>
      </c>
      <c r="BQ82" s="464">
        <f t="shared" ca="1" si="14"/>
        <v>43364.939215393519</v>
      </c>
      <c r="BR82" s="445"/>
      <c r="BS82" s="464"/>
      <c r="BT82" s="445"/>
      <c r="BU82" s="484"/>
      <c r="BV82" s="484"/>
      <c r="BW82" s="484"/>
      <c r="BX82" s="484"/>
      <c r="BY82" s="484"/>
      <c r="BZ82" s="484"/>
      <c r="CA82" s="436"/>
      <c r="CB82" s="436"/>
    </row>
    <row r="83" spans="1:80" s="447" customFormat="1" ht="12" customHeight="1" x14ac:dyDescent="0.2">
      <c r="A83" s="436"/>
      <c r="B83" s="437"/>
      <c r="C83" s="467"/>
      <c r="D83" s="473"/>
      <c r="E83" s="474"/>
      <c r="F83" s="475"/>
      <c r="G83" s="475"/>
      <c r="H83" s="476"/>
      <c r="I83" s="475"/>
      <c r="J83" s="477"/>
      <c r="K83" s="497">
        <f>IF(F83="",0,(VLOOKUP('wgl tot'!F83,saltab2019,'wgl tot'!G83+1,FALSE)))</f>
        <v>0</v>
      </c>
      <c r="L83" s="479">
        <f t="shared" si="30"/>
        <v>0</v>
      </c>
      <c r="M83" s="467"/>
      <c r="N83" s="497">
        <f>ROUND(IF(('wgl tot'!L83+'wgl tot'!P83)*BB83&lt;'wgl tot'!H83*tabellen!$D$43,'wgl tot'!H83*tabellen!$D$43,('wgl tot'!L83+'wgl tot'!P83)*BB83),2)</f>
        <v>0</v>
      </c>
      <c r="O83" s="497">
        <f>ROUND(+('wgl tot'!L83+'wgl tot'!P83)*BC83,2)</f>
        <v>0</v>
      </c>
      <c r="P83" s="497">
        <f>ROUND(IF(I83="j",VLOOKUP(AZ83,uitlooptoeslag,2,FALSE))*IF('wgl tot'!H83&gt;1,1,'wgl tot'!H83),2)</f>
        <v>0</v>
      </c>
      <c r="Q83" s="497">
        <f>ROUND(IF(BE83="j",tabellen!$D$52*IF('wgl tot'!H83&gt;1,1,'wgl tot'!H83),0),2)</f>
        <v>0</v>
      </c>
      <c r="R83" s="497">
        <f>IF(AND(F83&gt;0,F83&lt;17),tabellen!$C$37*'wgl tot'!H83,0)</f>
        <v>0</v>
      </c>
      <c r="S83" s="497">
        <f>VLOOKUP(BD83,eindejaarsuitkering_OOP,2,TRUE)*'wgl tot'!H83/12</f>
        <v>0</v>
      </c>
      <c r="T83" s="497">
        <f>ROUND('wgl tot'!H83*tabellen!$D$50,2)</f>
        <v>0</v>
      </c>
      <c r="U83" s="498">
        <f t="shared" si="31"/>
        <v>0</v>
      </c>
      <c r="V83" s="497">
        <f>('wgl tot'!L83+'wgl tot'!P83)*tabellen!$C$39*12</f>
        <v>0</v>
      </c>
      <c r="W83" s="479">
        <f t="shared" si="39"/>
        <v>0</v>
      </c>
      <c r="X83" s="467"/>
      <c r="Y83" s="498">
        <f t="shared" si="11"/>
        <v>0</v>
      </c>
      <c r="Z83" s="674">
        <f>+'wgl tot'!V83/12</f>
        <v>0</v>
      </c>
      <c r="AA83" s="467"/>
      <c r="AB83" s="497">
        <f>IF(F83="",0,(IF('wgl tot'!U83/'wgl tot'!H83&lt;tabellen!$E$6,0,('wgl tot'!U83-tabellen!$E$6*'wgl tot'!H83)/12)*tabellen!$C$6))</f>
        <v>0</v>
      </c>
      <c r="AC83" s="497">
        <f>IF(F83="",0,(IF('wgl tot'!U83/'wgl tot'!H83&lt;tabellen!$E$7,0,(+'wgl tot'!U83-tabellen!$E$7*'wgl tot'!H83)/12)*tabellen!$C$7))</f>
        <v>0</v>
      </c>
      <c r="AD83" s="497">
        <f>'wgl tot'!U83/12*tabellen!$C$8</f>
        <v>0</v>
      </c>
      <c r="AE83" s="497">
        <f>IF(H83=0,0,IF(BJ83&gt;tabellen!$G$9/12,tabellen!$G$9/12,BJ83)*(tabellen!$C$9+tabellen!$C$10))</f>
        <v>0</v>
      </c>
      <c r="AF83" s="497">
        <f>IF(F83="",0,('wgl tot'!BK83))</f>
        <v>0</v>
      </c>
      <c r="AG83" s="499">
        <f>IF(F83="",0,(IF('wgl tot'!BJ83&gt;tabellen!$G$12*'wgl tot'!H83/12,tabellen!$G$12*'wgl tot'!H83/12,'wgl tot'!BJ83)*tabellen!$C$12))</f>
        <v>0</v>
      </c>
      <c r="AH83" s="467"/>
      <c r="AI83" s="499">
        <f>IF(F83="",0,('wgl tot'!BJ83*IF(J83=1,tabellen!$C$13,IF(J83=2,tabellen!$C$14,IF(J83=3,tabellen!$C$15,tabellen!$C$16)))))</f>
        <v>0</v>
      </c>
      <c r="AJ83" s="499">
        <f>IF(F83="",0,('wgl tot'!BJ83*tabellen!$C$17))</f>
        <v>0</v>
      </c>
      <c r="AK83" s="679">
        <v>0</v>
      </c>
      <c r="AL83" s="467"/>
      <c r="AM83" s="479">
        <f t="shared" si="32"/>
        <v>0</v>
      </c>
      <c r="AN83" s="479">
        <f t="shared" si="12"/>
        <v>0</v>
      </c>
      <c r="AO83" s="467"/>
      <c r="AP83" s="503" t="str">
        <f t="shared" si="33"/>
        <v/>
      </c>
      <c r="AQ83" s="503" t="str">
        <f t="shared" si="34"/>
        <v/>
      </c>
      <c r="AR83" s="467"/>
      <c r="AS83" s="444"/>
      <c r="AT83" s="436"/>
      <c r="AU83" s="436"/>
      <c r="AV83" s="481">
        <f ca="1">YEAR('wgl tot'!$AV$9)-YEAR('wgl tot'!E83)</f>
        <v>118</v>
      </c>
      <c r="AW83" s="481">
        <f ca="1">MONTH('wgl tot'!$AV$9)-MONTH('wgl tot'!E83)</f>
        <v>8</v>
      </c>
      <c r="AX83" s="481">
        <f ca="1">DAY('wgl tot'!$AV$9)-DAY('wgl tot'!E83)</f>
        <v>21</v>
      </c>
      <c r="AY83" s="445">
        <f>IF(AND('wgl tot'!F83&gt;0,'wgl tot'!F83&lt;17),0,100)</f>
        <v>100</v>
      </c>
      <c r="AZ83" s="445">
        <f t="shared" si="35"/>
        <v>0</v>
      </c>
      <c r="BA83" s="464">
        <v>42583</v>
      </c>
      <c r="BB83" s="482">
        <f t="shared" si="15"/>
        <v>0.08</v>
      </c>
      <c r="BC83" s="483">
        <f>+tabellen!$D$44</f>
        <v>6.3E-2</v>
      </c>
      <c r="BD83" s="481">
        <f>IF('wgl tot'!AY83=100,0,'wgl tot'!F83)</f>
        <v>0</v>
      </c>
      <c r="BE83" s="483" t="str">
        <f>IF(OR('wgl tot'!F83="DA",'wgl tot'!F83="DB",'wgl tot'!F83="DBuit",'wgl tot'!F83="DC",'wgl tot'!F83="DCuit",MID('wgl tot'!F83,1,5)="meerh"),"j","n")</f>
        <v>n</v>
      </c>
      <c r="BF83" s="485" t="e">
        <f>IF('wgl tot'!U83/'wgl tot'!H83&lt;tabellen!$E$6,0,(+'wgl tot'!U83-tabellen!$E$6*'wgl tot'!H83)/12*tabellen!$D$6)</f>
        <v>#DIV/0!</v>
      </c>
      <c r="BG83" s="485" t="e">
        <f>IF('wgl tot'!U83/'wgl tot'!H83&lt;tabellen!$E$7,0,(+'wgl tot'!U83-tabellen!$E$7*'wgl tot'!H83)/12*tabellen!$D$7)</f>
        <v>#DIV/0!</v>
      </c>
      <c r="BH83" s="485">
        <f>'wgl tot'!U83/12*tabellen!$D$8</f>
        <v>0</v>
      </c>
      <c r="BI83" s="486" t="e">
        <f t="shared" si="16"/>
        <v>#DIV/0!</v>
      </c>
      <c r="BJ83" s="487" t="e">
        <f>+(U83+V83)/12-'wgl tot'!BI83</f>
        <v>#DIV/0!</v>
      </c>
      <c r="BK83" s="487" t="e">
        <f>ROUND(IF('wgl tot'!BJ83&gt;tabellen!$H$11,tabellen!$H$11,'wgl tot'!BJ83)*tabellen!$C$11,2)</f>
        <v>#DIV/0!</v>
      </c>
      <c r="BL83" s="487" t="e">
        <f>+'wgl tot'!BJ83+'wgl tot'!BK83</f>
        <v>#DIV/0!</v>
      </c>
      <c r="BM83" s="488">
        <f t="shared" si="36"/>
        <v>1900</v>
      </c>
      <c r="BN83" s="488">
        <f t="shared" si="37"/>
        <v>1</v>
      </c>
      <c r="BO83" s="481">
        <f t="shared" si="38"/>
        <v>0</v>
      </c>
      <c r="BP83" s="464">
        <f t="shared" si="13"/>
        <v>22462</v>
      </c>
      <c r="BQ83" s="464">
        <f t="shared" ca="1" si="14"/>
        <v>43364.939215393519</v>
      </c>
      <c r="BR83" s="445"/>
      <c r="BS83" s="464"/>
      <c r="BT83" s="445"/>
      <c r="BU83" s="484"/>
      <c r="BV83" s="484"/>
      <c r="BW83" s="484"/>
      <c r="BX83" s="484"/>
      <c r="BY83" s="484"/>
      <c r="BZ83" s="484"/>
      <c r="CA83" s="436"/>
      <c r="CB83" s="436"/>
    </row>
    <row r="84" spans="1:80" s="447" customFormat="1" ht="12" customHeight="1" x14ac:dyDescent="0.2">
      <c r="A84" s="436"/>
      <c r="B84" s="437"/>
      <c r="C84" s="467"/>
      <c r="D84" s="473"/>
      <c r="E84" s="474"/>
      <c r="F84" s="475"/>
      <c r="G84" s="475"/>
      <c r="H84" s="476"/>
      <c r="I84" s="475"/>
      <c r="J84" s="477"/>
      <c r="K84" s="497">
        <f>IF(F84="",0,(VLOOKUP('wgl tot'!F84,saltab2019,'wgl tot'!G84+1,FALSE)))</f>
        <v>0</v>
      </c>
      <c r="L84" s="479">
        <f t="shared" si="30"/>
        <v>0</v>
      </c>
      <c r="M84" s="467"/>
      <c r="N84" s="497">
        <f>ROUND(IF(('wgl tot'!L84+'wgl tot'!P84)*BB84&lt;'wgl tot'!H84*tabellen!$D$43,'wgl tot'!H84*tabellen!$D$43,('wgl tot'!L84+'wgl tot'!P84)*BB84),2)</f>
        <v>0</v>
      </c>
      <c r="O84" s="497">
        <f>ROUND(+('wgl tot'!L84+'wgl tot'!P84)*BC84,2)</f>
        <v>0</v>
      </c>
      <c r="P84" s="497">
        <f>ROUND(IF(I84="j",VLOOKUP(AZ84,uitlooptoeslag,2,FALSE))*IF('wgl tot'!H84&gt;1,1,'wgl tot'!H84),2)</f>
        <v>0</v>
      </c>
      <c r="Q84" s="497">
        <f>ROUND(IF(BE84="j",tabellen!$D$52*IF('wgl tot'!H84&gt;1,1,'wgl tot'!H84),0),2)</f>
        <v>0</v>
      </c>
      <c r="R84" s="497">
        <f>IF(AND(F84&gt;0,F84&lt;17),tabellen!$C$37*'wgl tot'!H84,0)</f>
        <v>0</v>
      </c>
      <c r="S84" s="497">
        <f>VLOOKUP(BD84,eindejaarsuitkering_OOP,2,TRUE)*'wgl tot'!H84/12</f>
        <v>0</v>
      </c>
      <c r="T84" s="497">
        <f>ROUND('wgl tot'!H84*tabellen!$D$50,2)</f>
        <v>0</v>
      </c>
      <c r="U84" s="498">
        <f t="shared" si="31"/>
        <v>0</v>
      </c>
      <c r="V84" s="497">
        <f>('wgl tot'!L84+'wgl tot'!P84)*tabellen!$C$39*12</f>
        <v>0</v>
      </c>
      <c r="W84" s="479">
        <f t="shared" si="39"/>
        <v>0</v>
      </c>
      <c r="X84" s="467"/>
      <c r="Y84" s="498">
        <f t="shared" si="11"/>
        <v>0</v>
      </c>
      <c r="Z84" s="674">
        <f>+'wgl tot'!V84/12</f>
        <v>0</v>
      </c>
      <c r="AA84" s="467"/>
      <c r="AB84" s="497">
        <f>IF(F84="",0,(IF('wgl tot'!U84/'wgl tot'!H84&lt;tabellen!$E$6,0,('wgl tot'!U84-tabellen!$E$6*'wgl tot'!H84)/12)*tabellen!$C$6))</f>
        <v>0</v>
      </c>
      <c r="AC84" s="497">
        <f>IF(F84="",0,(IF('wgl tot'!U84/'wgl tot'!H84&lt;tabellen!$E$7,0,(+'wgl tot'!U84-tabellen!$E$7*'wgl tot'!H84)/12)*tabellen!$C$7))</f>
        <v>0</v>
      </c>
      <c r="AD84" s="497">
        <f>'wgl tot'!U84/12*tabellen!$C$8</f>
        <v>0</v>
      </c>
      <c r="AE84" s="497">
        <f>IF(H84=0,0,IF(BJ84&gt;tabellen!$G$9/12,tabellen!$G$9/12,BJ84)*(tabellen!$C$9+tabellen!$C$10))</f>
        <v>0</v>
      </c>
      <c r="AF84" s="497">
        <f>IF(F84="",0,('wgl tot'!BK84))</f>
        <v>0</v>
      </c>
      <c r="AG84" s="499">
        <f>IF(F84="",0,(IF('wgl tot'!BJ84&gt;tabellen!$G$12*'wgl tot'!H84/12,tabellen!$G$12*'wgl tot'!H84/12,'wgl tot'!BJ84)*tabellen!$C$12))</f>
        <v>0</v>
      </c>
      <c r="AH84" s="467"/>
      <c r="AI84" s="499">
        <f>IF(F84="",0,('wgl tot'!BJ84*IF(J84=1,tabellen!$C$13,IF(J84=2,tabellen!$C$14,IF(J84=3,tabellen!$C$15,tabellen!$C$16)))))</f>
        <v>0</v>
      </c>
      <c r="AJ84" s="499">
        <f>IF(F84="",0,('wgl tot'!BJ84*tabellen!$C$17))</f>
        <v>0</v>
      </c>
      <c r="AK84" s="679">
        <v>0</v>
      </c>
      <c r="AL84" s="467"/>
      <c r="AM84" s="479">
        <f t="shared" si="32"/>
        <v>0</v>
      </c>
      <c r="AN84" s="479">
        <f t="shared" si="12"/>
        <v>0</v>
      </c>
      <c r="AO84" s="467"/>
      <c r="AP84" s="503" t="str">
        <f t="shared" si="33"/>
        <v/>
      </c>
      <c r="AQ84" s="503" t="str">
        <f t="shared" si="34"/>
        <v/>
      </c>
      <c r="AR84" s="467"/>
      <c r="AS84" s="444"/>
      <c r="AT84" s="436"/>
      <c r="AU84" s="436"/>
      <c r="AV84" s="481">
        <f ca="1">YEAR('wgl tot'!$AV$9)-YEAR('wgl tot'!E84)</f>
        <v>118</v>
      </c>
      <c r="AW84" s="481">
        <f ca="1">MONTH('wgl tot'!$AV$9)-MONTH('wgl tot'!E84)</f>
        <v>8</v>
      </c>
      <c r="AX84" s="481">
        <f ca="1">DAY('wgl tot'!$AV$9)-DAY('wgl tot'!E84)</f>
        <v>21</v>
      </c>
      <c r="AY84" s="445">
        <f>IF(AND('wgl tot'!F84&gt;0,'wgl tot'!F84&lt;17),0,100)</f>
        <v>100</v>
      </c>
      <c r="AZ84" s="445">
        <f t="shared" si="35"/>
        <v>0</v>
      </c>
      <c r="BA84" s="464">
        <v>42583</v>
      </c>
      <c r="BB84" s="482">
        <f t="shared" si="15"/>
        <v>0.08</v>
      </c>
      <c r="BC84" s="483">
        <f>+tabellen!$D$44</f>
        <v>6.3E-2</v>
      </c>
      <c r="BD84" s="481">
        <f>IF('wgl tot'!AY84=100,0,'wgl tot'!F84)</f>
        <v>0</v>
      </c>
      <c r="BE84" s="483" t="str">
        <f>IF(OR('wgl tot'!F84="DA",'wgl tot'!F84="DB",'wgl tot'!F84="DBuit",'wgl tot'!F84="DC",'wgl tot'!F84="DCuit",MID('wgl tot'!F84,1,5)="meerh"),"j","n")</f>
        <v>n</v>
      </c>
      <c r="BF84" s="485" t="e">
        <f>IF('wgl tot'!U84/'wgl tot'!H84&lt;tabellen!$E$6,0,(+'wgl tot'!U84-tabellen!$E$6*'wgl tot'!H84)/12*tabellen!$D$6)</f>
        <v>#DIV/0!</v>
      </c>
      <c r="BG84" s="485" t="e">
        <f>IF('wgl tot'!U84/'wgl tot'!H84&lt;tabellen!$E$7,0,(+'wgl tot'!U84-tabellen!$E$7*'wgl tot'!H84)/12*tabellen!$D$7)</f>
        <v>#DIV/0!</v>
      </c>
      <c r="BH84" s="485">
        <f>'wgl tot'!U84/12*tabellen!$D$8</f>
        <v>0</v>
      </c>
      <c r="BI84" s="486" t="e">
        <f t="shared" si="16"/>
        <v>#DIV/0!</v>
      </c>
      <c r="BJ84" s="487" t="e">
        <f>+(U84+V84)/12-'wgl tot'!BI84</f>
        <v>#DIV/0!</v>
      </c>
      <c r="BK84" s="487" t="e">
        <f>ROUND(IF('wgl tot'!BJ84&gt;tabellen!$H$11,tabellen!$H$11,'wgl tot'!BJ84)*tabellen!$C$11,2)</f>
        <v>#DIV/0!</v>
      </c>
      <c r="BL84" s="487" t="e">
        <f>+'wgl tot'!BJ84+'wgl tot'!BK84</f>
        <v>#DIV/0!</v>
      </c>
      <c r="BM84" s="488">
        <f t="shared" si="36"/>
        <v>1900</v>
      </c>
      <c r="BN84" s="488">
        <f t="shared" si="37"/>
        <v>1</v>
      </c>
      <c r="BO84" s="481">
        <f t="shared" si="38"/>
        <v>0</v>
      </c>
      <c r="BP84" s="464">
        <f t="shared" si="13"/>
        <v>22462</v>
      </c>
      <c r="BQ84" s="464">
        <f t="shared" ca="1" si="14"/>
        <v>43364.939215393519</v>
      </c>
      <c r="BR84" s="445"/>
      <c r="BS84" s="464"/>
      <c r="BT84" s="445"/>
      <c r="BU84" s="484"/>
      <c r="BV84" s="484"/>
      <c r="BW84" s="484"/>
      <c r="BX84" s="484"/>
      <c r="BY84" s="484"/>
      <c r="BZ84" s="484"/>
      <c r="CA84" s="436"/>
      <c r="CB84" s="436"/>
    </row>
    <row r="85" spans="1:80" s="447" customFormat="1" ht="12" customHeight="1" x14ac:dyDescent="0.2">
      <c r="A85" s="436"/>
      <c r="B85" s="437"/>
      <c r="C85" s="467"/>
      <c r="D85" s="473"/>
      <c r="E85" s="474"/>
      <c r="F85" s="475"/>
      <c r="G85" s="475"/>
      <c r="H85" s="476"/>
      <c r="I85" s="475"/>
      <c r="J85" s="477"/>
      <c r="K85" s="497">
        <f>IF(F85="",0,(VLOOKUP('wgl tot'!F85,saltab2019,'wgl tot'!G85+1,FALSE)))</f>
        <v>0</v>
      </c>
      <c r="L85" s="479">
        <f t="shared" si="30"/>
        <v>0</v>
      </c>
      <c r="M85" s="467"/>
      <c r="N85" s="497">
        <f>ROUND(IF(('wgl tot'!L85+'wgl tot'!P85)*BB85&lt;'wgl tot'!H85*tabellen!$D$43,'wgl tot'!H85*tabellen!$D$43,('wgl tot'!L85+'wgl tot'!P85)*BB85),2)</f>
        <v>0</v>
      </c>
      <c r="O85" s="497">
        <f>ROUND(+('wgl tot'!L85+'wgl tot'!P85)*BC85,2)</f>
        <v>0</v>
      </c>
      <c r="P85" s="497">
        <f>ROUND(IF(I85="j",VLOOKUP(AZ85,uitlooptoeslag,2,FALSE))*IF('wgl tot'!H85&gt;1,1,'wgl tot'!H85),2)</f>
        <v>0</v>
      </c>
      <c r="Q85" s="497">
        <f>ROUND(IF(BE85="j",tabellen!$D$52*IF('wgl tot'!H85&gt;1,1,'wgl tot'!H85),0),2)</f>
        <v>0</v>
      </c>
      <c r="R85" s="497">
        <f>IF(AND(F85&gt;0,F85&lt;17),tabellen!$C$37*'wgl tot'!H85,0)</f>
        <v>0</v>
      </c>
      <c r="S85" s="497">
        <f>VLOOKUP(BD85,eindejaarsuitkering_OOP,2,TRUE)*'wgl tot'!H85/12</f>
        <v>0</v>
      </c>
      <c r="T85" s="497">
        <f>ROUND('wgl tot'!H85*tabellen!$D$50,2)</f>
        <v>0</v>
      </c>
      <c r="U85" s="498">
        <f t="shared" si="31"/>
        <v>0</v>
      </c>
      <c r="V85" s="497">
        <f>('wgl tot'!L85+'wgl tot'!P85)*tabellen!$C$39*12</f>
        <v>0</v>
      </c>
      <c r="W85" s="479">
        <f t="shared" si="39"/>
        <v>0</v>
      </c>
      <c r="X85" s="467"/>
      <c r="Y85" s="498">
        <f t="shared" si="11"/>
        <v>0</v>
      </c>
      <c r="Z85" s="674">
        <f>+'wgl tot'!V85/12</f>
        <v>0</v>
      </c>
      <c r="AA85" s="467"/>
      <c r="AB85" s="497">
        <f>IF(F85="",0,(IF('wgl tot'!U85/'wgl tot'!H85&lt;tabellen!$E$6,0,('wgl tot'!U85-tabellen!$E$6*'wgl tot'!H85)/12)*tabellen!$C$6))</f>
        <v>0</v>
      </c>
      <c r="AC85" s="497">
        <f>IF(F85="",0,(IF('wgl tot'!U85/'wgl tot'!H85&lt;tabellen!$E$7,0,(+'wgl tot'!U85-tabellen!$E$7*'wgl tot'!H85)/12)*tabellen!$C$7))</f>
        <v>0</v>
      </c>
      <c r="AD85" s="497">
        <f>'wgl tot'!U85/12*tabellen!$C$8</f>
        <v>0</v>
      </c>
      <c r="AE85" s="497">
        <f>IF(H85=0,0,IF(BJ85&gt;tabellen!$G$9/12,tabellen!$G$9/12,BJ85)*(tabellen!$C$9+tabellen!$C$10))</f>
        <v>0</v>
      </c>
      <c r="AF85" s="497">
        <f>IF(F85="",0,('wgl tot'!BK85))</f>
        <v>0</v>
      </c>
      <c r="AG85" s="499">
        <f>IF(F85="",0,(IF('wgl tot'!BJ85&gt;tabellen!$G$12*'wgl tot'!H85/12,tabellen!$G$12*'wgl tot'!H85/12,'wgl tot'!BJ85)*tabellen!$C$12))</f>
        <v>0</v>
      </c>
      <c r="AH85" s="467"/>
      <c r="AI85" s="499">
        <f>IF(F85="",0,('wgl tot'!BJ85*IF(J85=1,tabellen!$C$13,IF(J85=2,tabellen!$C$14,IF(J85=3,tabellen!$C$15,tabellen!$C$16)))))</f>
        <v>0</v>
      </c>
      <c r="AJ85" s="499">
        <f>IF(F85="",0,('wgl tot'!BJ85*tabellen!$C$17))</f>
        <v>0</v>
      </c>
      <c r="AK85" s="679">
        <v>0</v>
      </c>
      <c r="AL85" s="467"/>
      <c r="AM85" s="479">
        <f t="shared" si="32"/>
        <v>0</v>
      </c>
      <c r="AN85" s="479">
        <f t="shared" si="12"/>
        <v>0</v>
      </c>
      <c r="AO85" s="467"/>
      <c r="AP85" s="503" t="str">
        <f t="shared" si="33"/>
        <v/>
      </c>
      <c r="AQ85" s="503" t="str">
        <f t="shared" si="34"/>
        <v/>
      </c>
      <c r="AR85" s="467"/>
      <c r="AS85" s="444"/>
      <c r="AT85" s="436"/>
      <c r="AU85" s="436"/>
      <c r="AV85" s="481">
        <f ca="1">YEAR('wgl tot'!$AV$9)-YEAR('wgl tot'!E85)</f>
        <v>118</v>
      </c>
      <c r="AW85" s="481">
        <f ca="1">MONTH('wgl tot'!$AV$9)-MONTH('wgl tot'!E85)</f>
        <v>8</v>
      </c>
      <c r="AX85" s="481">
        <f ca="1">DAY('wgl tot'!$AV$9)-DAY('wgl tot'!E85)</f>
        <v>21</v>
      </c>
      <c r="AY85" s="445">
        <f>IF(AND('wgl tot'!F85&gt;0,'wgl tot'!F85&lt;17),0,100)</f>
        <v>100</v>
      </c>
      <c r="AZ85" s="445">
        <f t="shared" si="35"/>
        <v>0</v>
      </c>
      <c r="BA85" s="464">
        <v>42583</v>
      </c>
      <c r="BB85" s="482">
        <f t="shared" si="15"/>
        <v>0.08</v>
      </c>
      <c r="BC85" s="483">
        <f>+tabellen!$D$44</f>
        <v>6.3E-2</v>
      </c>
      <c r="BD85" s="481">
        <f>IF('wgl tot'!AY85=100,0,'wgl tot'!F85)</f>
        <v>0</v>
      </c>
      <c r="BE85" s="483" t="str">
        <f>IF(OR('wgl tot'!F85="DA",'wgl tot'!F85="DB",'wgl tot'!F85="DBuit",'wgl tot'!F85="DC",'wgl tot'!F85="DCuit",MID('wgl tot'!F85,1,5)="meerh"),"j","n")</f>
        <v>n</v>
      </c>
      <c r="BF85" s="485" t="e">
        <f>IF('wgl tot'!U85/'wgl tot'!H85&lt;tabellen!$E$6,0,(+'wgl tot'!U85-tabellen!$E$6*'wgl tot'!H85)/12*tabellen!$D$6)</f>
        <v>#DIV/0!</v>
      </c>
      <c r="BG85" s="485" t="e">
        <f>IF('wgl tot'!U85/'wgl tot'!H85&lt;tabellen!$E$7,0,(+'wgl tot'!U85-tabellen!$E$7*'wgl tot'!H85)/12*tabellen!$D$7)</f>
        <v>#DIV/0!</v>
      </c>
      <c r="BH85" s="485">
        <f>'wgl tot'!U85/12*tabellen!$D$8</f>
        <v>0</v>
      </c>
      <c r="BI85" s="486" t="e">
        <f t="shared" si="16"/>
        <v>#DIV/0!</v>
      </c>
      <c r="BJ85" s="487" t="e">
        <f>+(U85+V85)/12-'wgl tot'!BI85</f>
        <v>#DIV/0!</v>
      </c>
      <c r="BK85" s="487" t="e">
        <f>ROUND(IF('wgl tot'!BJ85&gt;tabellen!$H$11,tabellen!$H$11,'wgl tot'!BJ85)*tabellen!$C$11,2)</f>
        <v>#DIV/0!</v>
      </c>
      <c r="BL85" s="487" t="e">
        <f>+'wgl tot'!BJ85+'wgl tot'!BK85</f>
        <v>#DIV/0!</v>
      </c>
      <c r="BM85" s="488">
        <f t="shared" si="36"/>
        <v>1900</v>
      </c>
      <c r="BN85" s="488">
        <f t="shared" si="37"/>
        <v>1</v>
      </c>
      <c r="BO85" s="481">
        <f t="shared" si="38"/>
        <v>0</v>
      </c>
      <c r="BP85" s="464">
        <f t="shared" si="13"/>
        <v>22462</v>
      </c>
      <c r="BQ85" s="464">
        <f t="shared" ca="1" si="14"/>
        <v>43364.939215393519</v>
      </c>
      <c r="BR85" s="445"/>
      <c r="BS85" s="464"/>
      <c r="BT85" s="445"/>
      <c r="BU85" s="484"/>
      <c r="BV85" s="484"/>
      <c r="BW85" s="484"/>
      <c r="BX85" s="484"/>
      <c r="BY85" s="484"/>
      <c r="BZ85" s="484"/>
      <c r="CA85" s="436"/>
      <c r="CB85" s="436"/>
    </row>
    <row r="86" spans="1:80" s="447" customFormat="1" ht="12" customHeight="1" x14ac:dyDescent="0.2">
      <c r="A86" s="436"/>
      <c r="B86" s="437"/>
      <c r="C86" s="467"/>
      <c r="D86" s="473"/>
      <c r="E86" s="474"/>
      <c r="F86" s="475"/>
      <c r="G86" s="475"/>
      <c r="H86" s="476"/>
      <c r="I86" s="475"/>
      <c r="J86" s="477"/>
      <c r="K86" s="497">
        <f>IF(F86="",0,(VLOOKUP('wgl tot'!F86,saltab2019,'wgl tot'!G86+1,FALSE)))</f>
        <v>0</v>
      </c>
      <c r="L86" s="479">
        <f t="shared" si="30"/>
        <v>0</v>
      </c>
      <c r="M86" s="467"/>
      <c r="N86" s="497">
        <f>ROUND(IF(('wgl tot'!L86+'wgl tot'!P86)*BB86&lt;'wgl tot'!H86*tabellen!$D$43,'wgl tot'!H86*tabellen!$D$43,('wgl tot'!L86+'wgl tot'!P86)*BB86),2)</f>
        <v>0</v>
      </c>
      <c r="O86" s="497">
        <f>ROUND(+('wgl tot'!L86+'wgl tot'!P86)*BC86,2)</f>
        <v>0</v>
      </c>
      <c r="P86" s="497">
        <f>ROUND(IF(I86="j",VLOOKUP(AZ86,uitlooptoeslag,2,FALSE))*IF('wgl tot'!H86&gt;1,1,'wgl tot'!H86),2)</f>
        <v>0</v>
      </c>
      <c r="Q86" s="497">
        <f>ROUND(IF(BE86="j",tabellen!$D$52*IF('wgl tot'!H86&gt;1,1,'wgl tot'!H86),0),2)</f>
        <v>0</v>
      </c>
      <c r="R86" s="497">
        <f>IF(AND(F86&gt;0,F86&lt;17),tabellen!$C$37*'wgl tot'!H86,0)</f>
        <v>0</v>
      </c>
      <c r="S86" s="497">
        <f>VLOOKUP(BD86,eindejaarsuitkering_OOP,2,TRUE)*'wgl tot'!H86/12</f>
        <v>0</v>
      </c>
      <c r="T86" s="497">
        <f>ROUND('wgl tot'!H86*tabellen!$D$50,2)</f>
        <v>0</v>
      </c>
      <c r="U86" s="498">
        <f t="shared" si="31"/>
        <v>0</v>
      </c>
      <c r="V86" s="497">
        <f>('wgl tot'!L86+'wgl tot'!P86)*tabellen!$C$39*12</f>
        <v>0</v>
      </c>
      <c r="W86" s="479">
        <f t="shared" si="39"/>
        <v>0</v>
      </c>
      <c r="X86" s="467"/>
      <c r="Y86" s="498">
        <f t="shared" si="11"/>
        <v>0</v>
      </c>
      <c r="Z86" s="674">
        <f>+'wgl tot'!V86/12</f>
        <v>0</v>
      </c>
      <c r="AA86" s="467"/>
      <c r="AB86" s="497">
        <f>IF(F86="",0,(IF('wgl tot'!U86/'wgl tot'!H86&lt;tabellen!$E$6,0,('wgl tot'!U86-tabellen!$E$6*'wgl tot'!H86)/12)*tabellen!$C$6))</f>
        <v>0</v>
      </c>
      <c r="AC86" s="497">
        <f>IF(F86="",0,(IF('wgl tot'!U86/'wgl tot'!H86&lt;tabellen!$E$7,0,(+'wgl tot'!U86-tabellen!$E$7*'wgl tot'!H86)/12)*tabellen!$C$7))</f>
        <v>0</v>
      </c>
      <c r="AD86" s="497">
        <f>'wgl tot'!U86/12*tabellen!$C$8</f>
        <v>0</v>
      </c>
      <c r="AE86" s="497">
        <f>IF(H86=0,0,IF(BJ86&gt;tabellen!$G$9/12,tabellen!$G$9/12,BJ86)*(tabellen!$C$9+tabellen!$C$10))</f>
        <v>0</v>
      </c>
      <c r="AF86" s="497">
        <f>IF(F86="",0,('wgl tot'!BK86))</f>
        <v>0</v>
      </c>
      <c r="AG86" s="499">
        <f>IF(F86="",0,(IF('wgl tot'!BJ86&gt;tabellen!$G$12*'wgl tot'!H86/12,tabellen!$G$12*'wgl tot'!H86/12,'wgl tot'!BJ86)*tabellen!$C$12))</f>
        <v>0</v>
      </c>
      <c r="AH86" s="467"/>
      <c r="AI86" s="499">
        <f>IF(F86="",0,('wgl tot'!BJ86*IF(J86=1,tabellen!$C$13,IF(J86=2,tabellen!$C$14,IF(J86=3,tabellen!$C$15,tabellen!$C$16)))))</f>
        <v>0</v>
      </c>
      <c r="AJ86" s="499">
        <f>IF(F86="",0,('wgl tot'!BJ86*tabellen!$C$17))</f>
        <v>0</v>
      </c>
      <c r="AK86" s="679">
        <v>0</v>
      </c>
      <c r="AL86" s="467"/>
      <c r="AM86" s="479">
        <f t="shared" si="32"/>
        <v>0</v>
      </c>
      <c r="AN86" s="479">
        <f t="shared" si="12"/>
        <v>0</v>
      </c>
      <c r="AO86" s="467"/>
      <c r="AP86" s="503" t="str">
        <f t="shared" si="33"/>
        <v/>
      </c>
      <c r="AQ86" s="503" t="str">
        <f t="shared" si="34"/>
        <v/>
      </c>
      <c r="AR86" s="467"/>
      <c r="AS86" s="444"/>
      <c r="AT86" s="436"/>
      <c r="AU86" s="436"/>
      <c r="AV86" s="481">
        <f ca="1">YEAR('wgl tot'!$AV$9)-YEAR('wgl tot'!E86)</f>
        <v>118</v>
      </c>
      <c r="AW86" s="481">
        <f ca="1">MONTH('wgl tot'!$AV$9)-MONTH('wgl tot'!E86)</f>
        <v>8</v>
      </c>
      <c r="AX86" s="481">
        <f ca="1">DAY('wgl tot'!$AV$9)-DAY('wgl tot'!E86)</f>
        <v>21</v>
      </c>
      <c r="AY86" s="445">
        <f>IF(AND('wgl tot'!F86&gt;0,'wgl tot'!F86&lt;17),0,100)</f>
        <v>100</v>
      </c>
      <c r="AZ86" s="445">
        <f t="shared" si="35"/>
        <v>0</v>
      </c>
      <c r="BA86" s="464">
        <v>42583</v>
      </c>
      <c r="BB86" s="482">
        <f t="shared" si="15"/>
        <v>0.08</v>
      </c>
      <c r="BC86" s="483">
        <f>+tabellen!$D$44</f>
        <v>6.3E-2</v>
      </c>
      <c r="BD86" s="481">
        <f>IF('wgl tot'!AY86=100,0,'wgl tot'!F86)</f>
        <v>0</v>
      </c>
      <c r="BE86" s="483" t="str">
        <f>IF(OR('wgl tot'!F86="DA",'wgl tot'!F86="DB",'wgl tot'!F86="DBuit",'wgl tot'!F86="DC",'wgl tot'!F86="DCuit",MID('wgl tot'!F86,1,5)="meerh"),"j","n")</f>
        <v>n</v>
      </c>
      <c r="BF86" s="485" t="e">
        <f>IF('wgl tot'!U86/'wgl tot'!H86&lt;tabellen!$E$6,0,(+'wgl tot'!U86-tabellen!$E$6*'wgl tot'!H86)/12*tabellen!$D$6)</f>
        <v>#DIV/0!</v>
      </c>
      <c r="BG86" s="485" t="e">
        <f>IF('wgl tot'!U86/'wgl tot'!H86&lt;tabellen!$E$7,0,(+'wgl tot'!U86-tabellen!$E$7*'wgl tot'!H86)/12*tabellen!$D$7)</f>
        <v>#DIV/0!</v>
      </c>
      <c r="BH86" s="485">
        <f>'wgl tot'!U86/12*tabellen!$D$8</f>
        <v>0</v>
      </c>
      <c r="BI86" s="486" t="e">
        <f t="shared" si="16"/>
        <v>#DIV/0!</v>
      </c>
      <c r="BJ86" s="487" t="e">
        <f>+(U86+V86)/12-'wgl tot'!BI86</f>
        <v>#DIV/0!</v>
      </c>
      <c r="BK86" s="487" t="e">
        <f>ROUND(IF('wgl tot'!BJ86&gt;tabellen!$H$11,tabellen!$H$11,'wgl tot'!BJ86)*tabellen!$C$11,2)</f>
        <v>#DIV/0!</v>
      </c>
      <c r="BL86" s="487" t="e">
        <f>+'wgl tot'!BJ86+'wgl tot'!BK86</f>
        <v>#DIV/0!</v>
      </c>
      <c r="BM86" s="488">
        <f t="shared" si="36"/>
        <v>1900</v>
      </c>
      <c r="BN86" s="488">
        <f t="shared" si="37"/>
        <v>1</v>
      </c>
      <c r="BO86" s="481">
        <f t="shared" si="38"/>
        <v>0</v>
      </c>
      <c r="BP86" s="464">
        <f t="shared" si="13"/>
        <v>22462</v>
      </c>
      <c r="BQ86" s="464">
        <f t="shared" ca="1" si="14"/>
        <v>43364.939215393519</v>
      </c>
      <c r="BR86" s="445"/>
      <c r="BS86" s="464"/>
      <c r="BT86" s="445"/>
      <c r="BU86" s="484"/>
      <c r="BV86" s="484"/>
      <c r="BW86" s="484"/>
      <c r="BX86" s="484"/>
      <c r="BY86" s="484"/>
      <c r="BZ86" s="484"/>
      <c r="CA86" s="436"/>
      <c r="CB86" s="436"/>
    </row>
    <row r="87" spans="1:80" s="447" customFormat="1" ht="12" customHeight="1" x14ac:dyDescent="0.2">
      <c r="A87" s="436"/>
      <c r="B87" s="437"/>
      <c r="C87" s="467"/>
      <c r="D87" s="468"/>
      <c r="E87" s="467"/>
      <c r="F87" s="467"/>
      <c r="G87" s="467"/>
      <c r="H87" s="467"/>
      <c r="I87" s="467"/>
      <c r="J87" s="467"/>
      <c r="K87" s="467"/>
      <c r="L87" s="467"/>
      <c r="M87" s="467"/>
      <c r="N87" s="467"/>
      <c r="O87" s="467"/>
      <c r="P87" s="467"/>
      <c r="Q87" s="467"/>
      <c r="R87" s="467"/>
      <c r="S87" s="467"/>
      <c r="T87" s="467"/>
      <c r="U87" s="469"/>
      <c r="V87" s="467"/>
      <c r="W87" s="467"/>
      <c r="X87" s="467"/>
      <c r="Y87" s="469"/>
      <c r="Z87" s="675"/>
      <c r="AA87" s="467"/>
      <c r="AB87" s="467"/>
      <c r="AC87" s="467"/>
      <c r="AD87" s="467"/>
      <c r="AE87" s="467"/>
      <c r="AF87" s="467"/>
      <c r="AG87" s="470"/>
      <c r="AH87" s="467"/>
      <c r="AI87" s="470"/>
      <c r="AJ87" s="470"/>
      <c r="AK87" s="489"/>
      <c r="AL87" s="467"/>
      <c r="AM87" s="467"/>
      <c r="AN87" s="467"/>
      <c r="AO87" s="467"/>
      <c r="AP87" s="467"/>
      <c r="AQ87" s="467"/>
      <c r="AR87" s="467"/>
      <c r="AS87" s="444"/>
      <c r="AT87" s="436"/>
      <c r="AU87" s="436"/>
      <c r="AV87" s="445"/>
      <c r="AW87" s="445"/>
      <c r="AX87" s="445"/>
      <c r="AY87" s="445"/>
      <c r="AZ87" s="445"/>
      <c r="BA87" s="445"/>
      <c r="BB87" s="445"/>
      <c r="BC87" s="445"/>
      <c r="BD87" s="445"/>
      <c r="BE87" s="445"/>
      <c r="BF87" s="445"/>
      <c r="BG87" s="445"/>
      <c r="BH87" s="445"/>
      <c r="BI87" s="445"/>
      <c r="BJ87" s="445"/>
      <c r="BK87" s="445"/>
      <c r="BL87" s="445"/>
      <c r="BM87" s="445"/>
      <c r="BN87" s="445"/>
      <c r="BO87" s="445"/>
      <c r="BP87" s="445"/>
      <c r="BQ87" s="445"/>
      <c r="BR87" s="446"/>
      <c r="BS87" s="446"/>
      <c r="BT87" s="446"/>
      <c r="BU87" s="445"/>
      <c r="BV87" s="445"/>
      <c r="BW87" s="445"/>
      <c r="BX87" s="445"/>
      <c r="BY87" s="445"/>
      <c r="BZ87" s="445"/>
      <c r="CA87" s="436"/>
      <c r="CB87" s="436"/>
    </row>
    <row r="88" spans="1:80" s="447" customFormat="1" ht="12" customHeight="1" x14ac:dyDescent="0.2">
      <c r="A88" s="436"/>
      <c r="B88" s="490"/>
      <c r="C88" s="491"/>
      <c r="D88" s="492"/>
      <c r="E88" s="491"/>
      <c r="F88" s="491"/>
      <c r="G88" s="491"/>
      <c r="H88" s="491"/>
      <c r="I88" s="491"/>
      <c r="J88" s="491"/>
      <c r="K88" s="491"/>
      <c r="L88" s="491"/>
      <c r="M88" s="491"/>
      <c r="N88" s="491"/>
      <c r="O88" s="491"/>
      <c r="P88" s="491"/>
      <c r="Q88" s="491"/>
      <c r="R88" s="491"/>
      <c r="S88" s="491"/>
      <c r="T88" s="491"/>
      <c r="U88" s="493"/>
      <c r="V88" s="491"/>
      <c r="W88" s="491"/>
      <c r="X88" s="491"/>
      <c r="Y88" s="493"/>
      <c r="Z88" s="676"/>
      <c r="AA88" s="491"/>
      <c r="AB88" s="491"/>
      <c r="AC88" s="491"/>
      <c r="AD88" s="491"/>
      <c r="AE88" s="491"/>
      <c r="AF88" s="491"/>
      <c r="AG88" s="494"/>
      <c r="AH88" s="491"/>
      <c r="AI88" s="494"/>
      <c r="AJ88" s="494"/>
      <c r="AK88" s="495"/>
      <c r="AL88" s="491"/>
      <c r="AM88" s="491"/>
      <c r="AN88" s="491"/>
      <c r="AO88" s="491"/>
      <c r="AP88" s="491"/>
      <c r="AQ88" s="491"/>
      <c r="AR88" s="491"/>
      <c r="AS88" s="496"/>
      <c r="AT88" s="436"/>
      <c r="AU88" s="436"/>
      <c r="AV88" s="445"/>
      <c r="AW88" s="445"/>
      <c r="AX88" s="445"/>
      <c r="AY88" s="445"/>
      <c r="AZ88" s="445"/>
      <c r="BA88" s="445"/>
      <c r="BB88" s="445"/>
      <c r="BC88" s="445"/>
      <c r="BD88" s="445"/>
      <c r="BE88" s="445"/>
      <c r="BF88" s="445"/>
      <c r="BG88" s="445"/>
      <c r="BH88" s="445"/>
      <c r="BI88" s="445"/>
      <c r="BJ88" s="445"/>
      <c r="BK88" s="445"/>
      <c r="BL88" s="445"/>
      <c r="BM88" s="445"/>
      <c r="BN88" s="445"/>
      <c r="BO88" s="445"/>
      <c r="BP88" s="445"/>
      <c r="BQ88" s="445"/>
      <c r="BR88" s="446"/>
      <c r="BS88" s="446"/>
      <c r="BT88" s="446"/>
      <c r="BU88" s="445"/>
      <c r="BV88" s="445"/>
      <c r="BW88" s="445"/>
      <c r="BX88" s="445"/>
      <c r="BY88" s="445"/>
      <c r="BZ88" s="445"/>
      <c r="CA88" s="436"/>
      <c r="CB88" s="436"/>
    </row>
    <row r="89" spans="1:80" s="309" customFormat="1" ht="13.5" customHeight="1" x14ac:dyDescent="0.2">
      <c r="D89" s="312"/>
      <c r="K89" s="500"/>
      <c r="L89" s="500"/>
      <c r="U89" s="655"/>
      <c r="V89" s="500"/>
      <c r="Y89" s="655"/>
      <c r="Z89" s="665"/>
      <c r="AG89" s="313"/>
      <c r="AI89" s="313"/>
      <c r="AJ89" s="313"/>
      <c r="AK89" s="314"/>
      <c r="AP89" s="500"/>
      <c r="AQ89" s="500"/>
      <c r="AV89" s="315"/>
      <c r="AW89" s="315"/>
      <c r="AX89" s="315"/>
      <c r="AY89" s="315"/>
      <c r="AZ89" s="315"/>
      <c r="BA89" s="315"/>
      <c r="BB89" s="315"/>
      <c r="BC89" s="315"/>
      <c r="BD89" s="315"/>
      <c r="BE89" s="315"/>
      <c r="BF89" s="315"/>
      <c r="BG89" s="315"/>
      <c r="BH89" s="315"/>
      <c r="BI89" s="315"/>
      <c r="BJ89" s="315"/>
      <c r="BK89" s="315"/>
      <c r="BL89" s="315"/>
      <c r="BM89" s="315"/>
      <c r="BN89" s="315"/>
      <c r="BO89" s="315"/>
      <c r="BP89" s="315"/>
      <c r="BQ89" s="315"/>
      <c r="BR89" s="316"/>
      <c r="BS89" s="316"/>
      <c r="BT89" s="316"/>
      <c r="BU89" s="315"/>
      <c r="BV89" s="315"/>
      <c r="BW89" s="315"/>
      <c r="BX89" s="315"/>
      <c r="BY89" s="315"/>
      <c r="BZ89" s="315"/>
    </row>
    <row r="90" spans="1:80" s="309" customFormat="1" ht="13.5" customHeight="1" x14ac:dyDescent="0.2">
      <c r="D90" s="312"/>
      <c r="K90" s="500"/>
      <c r="L90" s="500"/>
      <c r="U90" s="655"/>
      <c r="V90" s="500"/>
      <c r="Y90" s="655"/>
      <c r="Z90" s="665"/>
      <c r="AG90" s="313"/>
      <c r="AI90" s="313"/>
      <c r="AJ90" s="313"/>
      <c r="AK90" s="314"/>
      <c r="AP90" s="500"/>
      <c r="AQ90" s="500"/>
      <c r="AV90" s="315"/>
      <c r="AW90" s="315"/>
      <c r="AX90" s="315"/>
      <c r="AY90" s="315"/>
      <c r="AZ90" s="315"/>
      <c r="BA90" s="315"/>
      <c r="BB90" s="315"/>
      <c r="BC90" s="315"/>
      <c r="BD90" s="315"/>
      <c r="BE90" s="315"/>
      <c r="BF90" s="315"/>
      <c r="BG90" s="315"/>
      <c r="BH90" s="315"/>
      <c r="BI90" s="315"/>
      <c r="BJ90" s="315"/>
      <c r="BK90" s="315"/>
      <c r="BL90" s="315"/>
      <c r="BM90" s="315"/>
      <c r="BN90" s="315"/>
      <c r="BO90" s="315"/>
      <c r="BP90" s="315"/>
      <c r="BQ90" s="315"/>
      <c r="BR90" s="316"/>
      <c r="BS90" s="316"/>
      <c r="BT90" s="316"/>
      <c r="BU90" s="315"/>
      <c r="BV90" s="315"/>
      <c r="BW90" s="315"/>
      <c r="BX90" s="315"/>
      <c r="BY90" s="315"/>
      <c r="BZ90" s="315"/>
    </row>
    <row r="91" spans="1:80" s="311" customFormat="1" ht="13.5" customHeight="1" x14ac:dyDescent="0.2">
      <c r="C91" s="321" t="s">
        <v>11</v>
      </c>
      <c r="D91" s="319"/>
      <c r="K91" s="502"/>
      <c r="L91" s="502"/>
      <c r="N91" s="309"/>
      <c r="U91" s="320"/>
      <c r="V91" s="502"/>
      <c r="Y91" s="320"/>
      <c r="Z91" s="665"/>
      <c r="AE91" s="309"/>
      <c r="AF91" s="309"/>
      <c r="AG91" s="313"/>
      <c r="AI91" s="313"/>
      <c r="AJ91" s="313"/>
      <c r="AK91" s="314"/>
      <c r="AP91" s="502"/>
      <c r="AQ91" s="502"/>
      <c r="AV91" s="315"/>
      <c r="AW91" s="315"/>
      <c r="AX91" s="315"/>
      <c r="AY91" s="315"/>
      <c r="AZ91" s="315"/>
      <c r="BA91" s="315"/>
      <c r="BB91" s="315"/>
      <c r="BC91" s="315"/>
      <c r="BD91" s="315"/>
      <c r="BE91" s="315"/>
      <c r="BF91" s="315"/>
      <c r="BG91" s="315"/>
      <c r="BH91" s="315"/>
      <c r="BI91" s="315"/>
      <c r="BJ91" s="315"/>
      <c r="BK91" s="315"/>
      <c r="BL91" s="315"/>
      <c r="BM91" s="315"/>
      <c r="BN91" s="315"/>
      <c r="BO91" s="315"/>
      <c r="BP91" s="315"/>
      <c r="BQ91" s="315"/>
      <c r="BR91" s="316"/>
      <c r="BS91" s="316"/>
      <c r="BT91" s="316"/>
      <c r="BU91" s="315"/>
      <c r="BV91" s="315"/>
      <c r="BW91" s="315"/>
      <c r="BX91" s="315"/>
      <c r="BY91" s="315"/>
      <c r="BZ91" s="315"/>
    </row>
    <row r="92" spans="1:80" s="311" customFormat="1" ht="13.5" customHeight="1" x14ac:dyDescent="0.2">
      <c r="C92" s="321" t="s">
        <v>12</v>
      </c>
      <c r="D92" s="319"/>
      <c r="K92" s="502"/>
      <c r="L92" s="502"/>
      <c r="N92" s="309"/>
      <c r="U92" s="320"/>
      <c r="V92" s="502"/>
      <c r="Y92" s="320"/>
      <c r="Z92" s="665"/>
      <c r="AE92" s="309"/>
      <c r="AF92" s="309"/>
      <c r="AG92" s="313"/>
      <c r="AI92" s="313"/>
      <c r="AJ92" s="313"/>
      <c r="AK92" s="314"/>
      <c r="AP92" s="502"/>
      <c r="AQ92" s="502"/>
      <c r="AV92" s="315"/>
      <c r="AW92" s="315"/>
      <c r="AX92" s="315"/>
      <c r="AY92" s="315"/>
      <c r="AZ92" s="315"/>
      <c r="BA92" s="315"/>
      <c r="BB92" s="315"/>
      <c r="BC92" s="315"/>
      <c r="BD92" s="315"/>
      <c r="BE92" s="315"/>
      <c r="BF92" s="315"/>
      <c r="BG92" s="315"/>
      <c r="BH92" s="315"/>
      <c r="BI92" s="315"/>
      <c r="BJ92" s="315"/>
      <c r="BK92" s="315"/>
      <c r="BL92" s="315"/>
      <c r="BM92" s="315"/>
      <c r="BN92" s="315"/>
      <c r="BO92" s="315"/>
      <c r="BP92" s="315"/>
      <c r="BQ92" s="315"/>
      <c r="BR92" s="316"/>
      <c r="BS92" s="316"/>
      <c r="BT92" s="316"/>
      <c r="BU92" s="315"/>
      <c r="BV92" s="315"/>
      <c r="BW92" s="315"/>
      <c r="BX92" s="315"/>
      <c r="BY92" s="315"/>
      <c r="BZ92" s="315"/>
    </row>
    <row r="93" spans="1:80" s="311" customFormat="1" ht="13.5" customHeight="1" x14ac:dyDescent="0.2">
      <c r="C93" s="321" t="s">
        <v>13</v>
      </c>
      <c r="D93" s="319"/>
      <c r="K93" s="502"/>
      <c r="L93" s="502"/>
      <c r="N93" s="309"/>
      <c r="U93" s="320"/>
      <c r="V93" s="502"/>
      <c r="Y93" s="320"/>
      <c r="Z93" s="665"/>
      <c r="AE93" s="309"/>
      <c r="AF93" s="309"/>
      <c r="AG93" s="313"/>
      <c r="AI93" s="313"/>
      <c r="AJ93" s="313"/>
      <c r="AK93" s="314"/>
      <c r="AP93" s="502"/>
      <c r="AQ93" s="502"/>
      <c r="AV93" s="315"/>
      <c r="AW93" s="315"/>
      <c r="AX93" s="315"/>
      <c r="AY93" s="315"/>
      <c r="AZ93" s="315"/>
      <c r="BA93" s="315"/>
      <c r="BB93" s="315"/>
      <c r="BC93" s="315"/>
      <c r="BD93" s="315"/>
      <c r="BE93" s="315"/>
      <c r="BF93" s="315"/>
      <c r="BG93" s="315"/>
      <c r="BH93" s="315"/>
      <c r="BI93" s="315"/>
      <c r="BJ93" s="315"/>
      <c r="BK93" s="315"/>
      <c r="BL93" s="315"/>
      <c r="BM93" s="315"/>
      <c r="BN93" s="315"/>
      <c r="BO93" s="315"/>
      <c r="BP93" s="315"/>
      <c r="BQ93" s="315"/>
      <c r="BR93" s="316"/>
      <c r="BS93" s="316"/>
      <c r="BT93" s="316"/>
      <c r="BU93" s="315"/>
      <c r="BV93" s="315"/>
      <c r="BW93" s="315"/>
      <c r="BX93" s="315"/>
      <c r="BY93" s="315"/>
      <c r="BZ93" s="315"/>
    </row>
    <row r="94" spans="1:80" s="311" customFormat="1" ht="13.5" customHeight="1" x14ac:dyDescent="0.2">
      <c r="C94" s="321" t="s">
        <v>14</v>
      </c>
      <c r="D94" s="319"/>
      <c r="K94" s="502"/>
      <c r="L94" s="502"/>
      <c r="N94" s="309"/>
      <c r="U94" s="320"/>
      <c r="V94" s="502"/>
      <c r="Y94" s="320"/>
      <c r="Z94" s="665"/>
      <c r="AE94" s="309"/>
      <c r="AF94" s="309"/>
      <c r="AG94" s="313"/>
      <c r="AI94" s="313"/>
      <c r="AJ94" s="313"/>
      <c r="AK94" s="314"/>
      <c r="AP94" s="502"/>
      <c r="AQ94" s="502"/>
      <c r="AV94" s="315"/>
      <c r="AW94" s="315"/>
      <c r="AX94" s="315"/>
      <c r="AY94" s="315"/>
      <c r="AZ94" s="315"/>
      <c r="BA94" s="315"/>
      <c r="BB94" s="315"/>
      <c r="BC94" s="315"/>
      <c r="BD94" s="315"/>
      <c r="BE94" s="315"/>
      <c r="BF94" s="315"/>
      <c r="BG94" s="315"/>
      <c r="BH94" s="315"/>
      <c r="BI94" s="315"/>
      <c r="BJ94" s="315"/>
      <c r="BK94" s="315"/>
      <c r="BL94" s="315"/>
      <c r="BM94" s="315"/>
      <c r="BN94" s="315"/>
      <c r="BO94" s="315"/>
      <c r="BP94" s="315"/>
      <c r="BQ94" s="315"/>
      <c r="BR94" s="316"/>
      <c r="BS94" s="316"/>
      <c r="BT94" s="316"/>
      <c r="BU94" s="315"/>
      <c r="BV94" s="315"/>
      <c r="BW94" s="315"/>
      <c r="BX94" s="315"/>
      <c r="BY94" s="315"/>
      <c r="BZ94" s="315"/>
    </row>
    <row r="95" spans="1:80" s="311" customFormat="1" ht="13.5" customHeight="1" x14ac:dyDescent="0.2">
      <c r="C95" s="321" t="s">
        <v>3</v>
      </c>
      <c r="D95" s="319"/>
      <c r="K95" s="502"/>
      <c r="L95" s="502"/>
      <c r="N95" s="309"/>
      <c r="U95" s="320"/>
      <c r="V95" s="502"/>
      <c r="Y95" s="320"/>
      <c r="Z95" s="665"/>
      <c r="AE95" s="309"/>
      <c r="AF95" s="309"/>
      <c r="AG95" s="313"/>
      <c r="AI95" s="313"/>
      <c r="AJ95" s="313"/>
      <c r="AK95" s="314"/>
      <c r="AP95" s="502"/>
      <c r="AQ95" s="502"/>
      <c r="AV95" s="315"/>
      <c r="AW95" s="315"/>
      <c r="AX95" s="315"/>
      <c r="AY95" s="315"/>
      <c r="AZ95" s="315"/>
      <c r="BA95" s="315"/>
      <c r="BB95" s="315"/>
      <c r="BC95" s="315"/>
      <c r="BD95" s="315"/>
      <c r="BE95" s="315"/>
      <c r="BF95" s="315"/>
      <c r="BG95" s="315"/>
      <c r="BH95" s="315"/>
      <c r="BI95" s="315"/>
      <c r="BJ95" s="315"/>
      <c r="BK95" s="315"/>
      <c r="BL95" s="315"/>
      <c r="BM95" s="315"/>
      <c r="BN95" s="315"/>
      <c r="BO95" s="315"/>
      <c r="BP95" s="315"/>
      <c r="BQ95" s="315"/>
      <c r="BR95" s="316"/>
      <c r="BS95" s="316"/>
      <c r="BT95" s="316"/>
      <c r="BU95" s="315"/>
      <c r="BV95" s="315"/>
      <c r="BW95" s="315"/>
      <c r="BX95" s="315"/>
      <c r="BY95" s="315"/>
      <c r="BZ95" s="315"/>
    </row>
    <row r="96" spans="1:80" s="311" customFormat="1" ht="13.5" customHeight="1" x14ac:dyDescent="0.2">
      <c r="C96" s="321" t="s">
        <v>4</v>
      </c>
      <c r="D96" s="319"/>
      <c r="K96" s="502"/>
      <c r="L96" s="502"/>
      <c r="N96" s="309"/>
      <c r="U96" s="320"/>
      <c r="V96" s="502"/>
      <c r="Y96" s="320"/>
      <c r="Z96" s="665"/>
      <c r="AE96" s="309"/>
      <c r="AF96" s="309"/>
      <c r="AG96" s="313"/>
      <c r="AI96" s="313"/>
      <c r="AJ96" s="313"/>
      <c r="AK96" s="314"/>
      <c r="AP96" s="502"/>
      <c r="AQ96" s="502"/>
      <c r="AV96" s="315"/>
      <c r="AW96" s="315"/>
      <c r="AX96" s="315"/>
      <c r="AY96" s="315"/>
      <c r="AZ96" s="315"/>
      <c r="BA96" s="315"/>
      <c r="BB96" s="315"/>
      <c r="BC96" s="315"/>
      <c r="BD96" s="315"/>
      <c r="BE96" s="315"/>
      <c r="BF96" s="315"/>
      <c r="BG96" s="315"/>
      <c r="BH96" s="315"/>
      <c r="BI96" s="315"/>
      <c r="BJ96" s="315"/>
      <c r="BK96" s="315"/>
      <c r="BL96" s="315"/>
      <c r="BM96" s="315"/>
      <c r="BN96" s="315"/>
      <c r="BO96" s="315"/>
      <c r="BP96" s="315"/>
      <c r="BQ96" s="315"/>
      <c r="BR96" s="316"/>
      <c r="BS96" s="316"/>
      <c r="BT96" s="316"/>
      <c r="BU96" s="315"/>
      <c r="BV96" s="315"/>
      <c r="BW96" s="315"/>
      <c r="BX96" s="315"/>
      <c r="BY96" s="315"/>
      <c r="BZ96" s="315"/>
    </row>
    <row r="97" spans="3:78" s="311" customFormat="1" ht="13.5" customHeight="1" x14ac:dyDescent="0.2">
      <c r="C97" s="321" t="s">
        <v>5</v>
      </c>
      <c r="D97" s="319"/>
      <c r="K97" s="502"/>
      <c r="L97" s="502"/>
      <c r="N97" s="309"/>
      <c r="U97" s="320"/>
      <c r="V97" s="502"/>
      <c r="Y97" s="320"/>
      <c r="Z97" s="665"/>
      <c r="AE97" s="309"/>
      <c r="AF97" s="309"/>
      <c r="AG97" s="313"/>
      <c r="AI97" s="313"/>
      <c r="AJ97" s="313"/>
      <c r="AK97" s="314"/>
      <c r="AP97" s="502"/>
      <c r="AQ97" s="502"/>
      <c r="AV97" s="315"/>
      <c r="AW97" s="315"/>
      <c r="AX97" s="315"/>
      <c r="AY97" s="315"/>
      <c r="AZ97" s="315"/>
      <c r="BA97" s="315"/>
      <c r="BB97" s="315"/>
      <c r="BC97" s="315"/>
      <c r="BD97" s="315"/>
      <c r="BE97" s="315"/>
      <c r="BF97" s="315"/>
      <c r="BG97" s="315"/>
      <c r="BH97" s="315"/>
      <c r="BI97" s="315"/>
      <c r="BJ97" s="315"/>
      <c r="BK97" s="315"/>
      <c r="BL97" s="315"/>
      <c r="BM97" s="315"/>
      <c r="BN97" s="315"/>
      <c r="BO97" s="315"/>
      <c r="BP97" s="315"/>
      <c r="BQ97" s="315"/>
      <c r="BR97" s="316"/>
      <c r="BS97" s="316"/>
      <c r="BT97" s="316"/>
      <c r="BU97" s="315"/>
      <c r="BV97" s="315"/>
      <c r="BW97" s="315"/>
      <c r="BX97" s="315"/>
      <c r="BY97" s="315"/>
      <c r="BZ97" s="315"/>
    </row>
    <row r="98" spans="3:78" s="311" customFormat="1" ht="13.5" customHeight="1" x14ac:dyDescent="0.2">
      <c r="C98" s="321" t="s">
        <v>6</v>
      </c>
      <c r="D98" s="319"/>
      <c r="K98" s="502"/>
      <c r="L98" s="502"/>
      <c r="N98" s="309"/>
      <c r="U98" s="320"/>
      <c r="V98" s="502"/>
      <c r="Y98" s="320"/>
      <c r="Z98" s="665"/>
      <c r="AE98" s="309"/>
      <c r="AF98" s="309"/>
      <c r="AG98" s="313"/>
      <c r="AI98" s="313"/>
      <c r="AJ98" s="313"/>
      <c r="AK98" s="314"/>
      <c r="AP98" s="502"/>
      <c r="AQ98" s="502"/>
      <c r="AV98" s="315"/>
      <c r="AW98" s="315"/>
      <c r="AX98" s="315"/>
      <c r="AY98" s="315"/>
      <c r="AZ98" s="315"/>
      <c r="BA98" s="315"/>
      <c r="BB98" s="315"/>
      <c r="BC98" s="315"/>
      <c r="BD98" s="315"/>
      <c r="BE98" s="315"/>
      <c r="BF98" s="315"/>
      <c r="BG98" s="315"/>
      <c r="BH98" s="315"/>
      <c r="BI98" s="315"/>
      <c r="BJ98" s="315"/>
      <c r="BK98" s="315"/>
      <c r="BL98" s="315"/>
      <c r="BM98" s="315"/>
      <c r="BN98" s="315"/>
      <c r="BO98" s="315"/>
      <c r="BP98" s="315"/>
      <c r="BQ98" s="315"/>
      <c r="BR98" s="316"/>
      <c r="BS98" s="316"/>
      <c r="BT98" s="316"/>
      <c r="BU98" s="315"/>
      <c r="BV98" s="315"/>
      <c r="BW98" s="315"/>
      <c r="BX98" s="315"/>
      <c r="BY98" s="315"/>
      <c r="BZ98" s="315"/>
    </row>
    <row r="99" spans="3:78" s="311" customFormat="1" ht="13.5" customHeight="1" x14ac:dyDescent="0.2">
      <c r="C99" s="321" t="s">
        <v>7</v>
      </c>
      <c r="D99" s="319"/>
      <c r="K99" s="502"/>
      <c r="L99" s="502"/>
      <c r="N99" s="309"/>
      <c r="U99" s="320"/>
      <c r="V99" s="502"/>
      <c r="Y99" s="320"/>
      <c r="Z99" s="665"/>
      <c r="AE99" s="309"/>
      <c r="AF99" s="309"/>
      <c r="AG99" s="313"/>
      <c r="AI99" s="313"/>
      <c r="AJ99" s="313"/>
      <c r="AK99" s="314"/>
      <c r="AP99" s="502"/>
      <c r="AQ99" s="502"/>
      <c r="AV99" s="315"/>
      <c r="AW99" s="315"/>
      <c r="AX99" s="315"/>
      <c r="AY99" s="315"/>
      <c r="AZ99" s="315"/>
      <c r="BA99" s="315"/>
      <c r="BB99" s="315"/>
      <c r="BC99" s="315"/>
      <c r="BD99" s="315"/>
      <c r="BE99" s="315"/>
      <c r="BF99" s="315"/>
      <c r="BG99" s="315"/>
      <c r="BH99" s="315"/>
      <c r="BI99" s="315"/>
      <c r="BJ99" s="315"/>
      <c r="BK99" s="315"/>
      <c r="BL99" s="315"/>
      <c r="BM99" s="315"/>
      <c r="BN99" s="315"/>
      <c r="BO99" s="315"/>
      <c r="BP99" s="315"/>
      <c r="BQ99" s="315"/>
      <c r="BR99" s="316"/>
      <c r="BS99" s="316"/>
      <c r="BT99" s="316"/>
      <c r="BU99" s="315"/>
      <c r="BV99" s="315"/>
      <c r="BW99" s="315"/>
      <c r="BX99" s="315"/>
      <c r="BY99" s="315"/>
      <c r="BZ99" s="315"/>
    </row>
    <row r="100" spans="3:78" s="311" customFormat="1" ht="13.5" customHeight="1" x14ac:dyDescent="0.2">
      <c r="C100" s="321" t="s">
        <v>8</v>
      </c>
      <c r="D100" s="319"/>
      <c r="K100" s="502"/>
      <c r="L100" s="502"/>
      <c r="N100" s="309"/>
      <c r="U100" s="320"/>
      <c r="V100" s="502"/>
      <c r="Y100" s="320"/>
      <c r="Z100" s="665"/>
      <c r="AE100" s="309"/>
      <c r="AF100" s="309"/>
      <c r="AG100" s="313"/>
      <c r="AI100" s="313"/>
      <c r="AJ100" s="313"/>
      <c r="AK100" s="314"/>
      <c r="AP100" s="502"/>
      <c r="AQ100" s="502"/>
      <c r="AV100" s="315"/>
      <c r="AW100" s="315"/>
      <c r="AX100" s="315"/>
      <c r="AY100" s="315"/>
      <c r="AZ100" s="315"/>
      <c r="BA100" s="315"/>
      <c r="BB100" s="315"/>
      <c r="BC100" s="315"/>
      <c r="BD100" s="315"/>
      <c r="BE100" s="315"/>
      <c r="BF100" s="315"/>
      <c r="BG100" s="315"/>
      <c r="BH100" s="315"/>
      <c r="BI100" s="315"/>
      <c r="BJ100" s="315"/>
      <c r="BK100" s="315"/>
      <c r="BL100" s="315"/>
      <c r="BM100" s="315"/>
      <c r="BN100" s="315"/>
      <c r="BO100" s="315"/>
      <c r="BP100" s="315"/>
      <c r="BQ100" s="315"/>
      <c r="BR100" s="316"/>
      <c r="BS100" s="316"/>
      <c r="BT100" s="316"/>
      <c r="BU100" s="315"/>
      <c r="BV100" s="315"/>
      <c r="BW100" s="315"/>
      <c r="BX100" s="315"/>
      <c r="BY100" s="315"/>
      <c r="BZ100" s="315"/>
    </row>
    <row r="101" spans="3:78" s="311" customFormat="1" ht="13.5" customHeight="1" x14ac:dyDescent="0.2">
      <c r="C101" s="321" t="s">
        <v>9</v>
      </c>
      <c r="D101" s="319"/>
      <c r="K101" s="502"/>
      <c r="L101" s="502"/>
      <c r="N101" s="309"/>
      <c r="U101" s="320"/>
      <c r="V101" s="502"/>
      <c r="Y101" s="320"/>
      <c r="Z101" s="665"/>
      <c r="AE101" s="309"/>
      <c r="AF101" s="309"/>
      <c r="AG101" s="313"/>
      <c r="AI101" s="313"/>
      <c r="AJ101" s="313"/>
      <c r="AK101" s="314"/>
      <c r="AP101" s="502"/>
      <c r="AQ101" s="502"/>
      <c r="AV101" s="315"/>
      <c r="AW101" s="315"/>
      <c r="AX101" s="315"/>
      <c r="AY101" s="315"/>
      <c r="AZ101" s="315"/>
      <c r="BA101" s="315"/>
      <c r="BB101" s="315"/>
      <c r="BC101" s="315"/>
      <c r="BD101" s="315"/>
      <c r="BE101" s="315"/>
      <c r="BF101" s="315"/>
      <c r="BG101" s="315"/>
      <c r="BH101" s="315"/>
      <c r="BI101" s="315"/>
      <c r="BJ101" s="315"/>
      <c r="BK101" s="315"/>
      <c r="BL101" s="315"/>
      <c r="BM101" s="315"/>
      <c r="BN101" s="315"/>
      <c r="BO101" s="315"/>
      <c r="BP101" s="315"/>
      <c r="BQ101" s="315"/>
      <c r="BR101" s="316"/>
      <c r="BS101" s="316"/>
      <c r="BT101" s="316"/>
      <c r="BU101" s="315"/>
      <c r="BV101" s="315"/>
      <c r="BW101" s="315"/>
      <c r="BX101" s="315"/>
      <c r="BY101" s="315"/>
      <c r="BZ101" s="315"/>
    </row>
    <row r="102" spans="3:78" s="311" customFormat="1" ht="13.5" customHeight="1" x14ac:dyDescent="0.2">
      <c r="C102" s="322" t="s">
        <v>68</v>
      </c>
      <c r="D102" s="319"/>
      <c r="K102" s="502"/>
      <c r="L102" s="502"/>
      <c r="N102" s="309"/>
      <c r="U102" s="320"/>
      <c r="V102" s="502"/>
      <c r="Y102" s="320"/>
      <c r="Z102" s="665"/>
      <c r="AE102" s="309"/>
      <c r="AF102" s="309"/>
      <c r="AG102" s="313"/>
      <c r="AI102" s="313"/>
      <c r="AJ102" s="313"/>
      <c r="AK102" s="314"/>
      <c r="AP102" s="502"/>
      <c r="AQ102" s="502"/>
      <c r="AV102" s="315"/>
      <c r="AW102" s="315"/>
      <c r="AX102" s="315"/>
      <c r="AY102" s="315"/>
      <c r="AZ102" s="315"/>
      <c r="BA102" s="315"/>
      <c r="BB102" s="315"/>
      <c r="BC102" s="315"/>
      <c r="BD102" s="315"/>
      <c r="BE102" s="315"/>
      <c r="BF102" s="315"/>
      <c r="BG102" s="315"/>
      <c r="BH102" s="315"/>
      <c r="BI102" s="315"/>
      <c r="BJ102" s="315"/>
      <c r="BK102" s="315"/>
      <c r="BL102" s="315"/>
      <c r="BM102" s="315"/>
      <c r="BN102" s="315"/>
      <c r="BO102" s="315"/>
      <c r="BP102" s="315"/>
      <c r="BQ102" s="315"/>
      <c r="BR102" s="316"/>
      <c r="BS102" s="316"/>
      <c r="BT102" s="316"/>
      <c r="BU102" s="315"/>
      <c r="BV102" s="315"/>
      <c r="BW102" s="315"/>
      <c r="BX102" s="315"/>
      <c r="BY102" s="315"/>
      <c r="BZ102" s="315"/>
    </row>
    <row r="103" spans="3:78" s="311" customFormat="1" ht="13.5" customHeight="1" x14ac:dyDescent="0.2">
      <c r="C103" s="322" t="s">
        <v>69</v>
      </c>
      <c r="D103" s="319"/>
      <c r="K103" s="502"/>
      <c r="L103" s="502"/>
      <c r="N103" s="309"/>
      <c r="U103" s="320"/>
      <c r="V103" s="502"/>
      <c r="Y103" s="320"/>
      <c r="Z103" s="665"/>
      <c r="AE103" s="309"/>
      <c r="AF103" s="309"/>
      <c r="AG103" s="313"/>
      <c r="AI103" s="313"/>
      <c r="AJ103" s="313"/>
      <c r="AK103" s="314"/>
      <c r="AP103" s="502"/>
      <c r="AQ103" s="502"/>
      <c r="AV103" s="315"/>
      <c r="AW103" s="315"/>
      <c r="AX103" s="315"/>
      <c r="AY103" s="315"/>
      <c r="AZ103" s="315"/>
      <c r="BA103" s="315"/>
      <c r="BB103" s="315"/>
      <c r="BC103" s="315"/>
      <c r="BD103" s="315"/>
      <c r="BE103" s="315"/>
      <c r="BF103" s="315"/>
      <c r="BG103" s="315"/>
      <c r="BH103" s="315"/>
      <c r="BI103" s="315"/>
      <c r="BJ103" s="315"/>
      <c r="BK103" s="315"/>
      <c r="BL103" s="315"/>
      <c r="BM103" s="315"/>
      <c r="BN103" s="315"/>
      <c r="BO103" s="315"/>
      <c r="BP103" s="315"/>
      <c r="BQ103" s="315"/>
      <c r="BR103" s="316"/>
      <c r="BS103" s="316"/>
      <c r="BT103" s="316"/>
      <c r="BU103" s="315"/>
      <c r="BV103" s="315"/>
      <c r="BW103" s="315"/>
      <c r="BX103" s="315"/>
      <c r="BY103" s="315"/>
      <c r="BZ103" s="315"/>
    </row>
    <row r="104" spans="3:78" s="311" customFormat="1" ht="13.5" customHeight="1" x14ac:dyDescent="0.2">
      <c r="C104" s="322" t="s">
        <v>70</v>
      </c>
      <c r="D104" s="319"/>
      <c r="K104" s="502"/>
      <c r="L104" s="502"/>
      <c r="N104" s="309"/>
      <c r="U104" s="320"/>
      <c r="V104" s="502"/>
      <c r="Y104" s="320"/>
      <c r="Z104" s="665"/>
      <c r="AE104" s="309"/>
      <c r="AF104" s="309"/>
      <c r="AG104" s="313"/>
      <c r="AI104" s="313"/>
      <c r="AJ104" s="313"/>
      <c r="AK104" s="314"/>
      <c r="AP104" s="502"/>
      <c r="AQ104" s="502"/>
      <c r="AV104" s="315"/>
      <c r="AW104" s="315"/>
      <c r="AX104" s="315"/>
      <c r="AY104" s="315"/>
      <c r="AZ104" s="315"/>
      <c r="BA104" s="315"/>
      <c r="BB104" s="315"/>
      <c r="BC104" s="315"/>
      <c r="BD104" s="315"/>
      <c r="BE104" s="315"/>
      <c r="BF104" s="315"/>
      <c r="BG104" s="315"/>
      <c r="BH104" s="315"/>
      <c r="BI104" s="315"/>
      <c r="BJ104" s="315"/>
      <c r="BK104" s="315"/>
      <c r="BL104" s="315"/>
      <c r="BM104" s="315"/>
      <c r="BN104" s="315"/>
      <c r="BO104" s="315"/>
      <c r="BP104" s="315"/>
      <c r="BQ104" s="315"/>
      <c r="BR104" s="316"/>
      <c r="BS104" s="316"/>
      <c r="BT104" s="316"/>
      <c r="BU104" s="315"/>
      <c r="BV104" s="315"/>
      <c r="BW104" s="315"/>
      <c r="BX104" s="315"/>
      <c r="BY104" s="315"/>
      <c r="BZ104" s="315"/>
    </row>
    <row r="105" spans="3:78" s="311" customFormat="1" ht="13.5" customHeight="1" x14ac:dyDescent="0.2">
      <c r="C105" s="321" t="s">
        <v>314</v>
      </c>
      <c r="D105" s="319"/>
      <c r="K105" s="502"/>
      <c r="L105" s="502"/>
      <c r="N105" s="309"/>
      <c r="U105" s="320"/>
      <c r="V105" s="502"/>
      <c r="Y105" s="320"/>
      <c r="Z105" s="665"/>
      <c r="AE105" s="309"/>
      <c r="AF105" s="309"/>
      <c r="AG105" s="313"/>
      <c r="AI105" s="313"/>
      <c r="AJ105" s="313"/>
      <c r="AK105" s="314"/>
      <c r="AP105" s="502"/>
      <c r="AQ105" s="502"/>
      <c r="AV105" s="315"/>
      <c r="AW105" s="315"/>
      <c r="AX105" s="315"/>
      <c r="AY105" s="315"/>
      <c r="AZ105" s="315"/>
      <c r="BA105" s="315"/>
      <c r="BB105" s="315"/>
      <c r="BC105" s="315"/>
      <c r="BD105" s="315"/>
      <c r="BE105" s="315"/>
      <c r="BF105" s="315"/>
      <c r="BG105" s="315"/>
      <c r="BH105" s="315"/>
      <c r="BI105" s="315"/>
      <c r="BJ105" s="315"/>
      <c r="BK105" s="315"/>
      <c r="BL105" s="315"/>
      <c r="BM105" s="315"/>
      <c r="BN105" s="315"/>
      <c r="BO105" s="315"/>
      <c r="BP105" s="315"/>
      <c r="BQ105" s="315"/>
      <c r="BR105" s="316"/>
      <c r="BS105" s="316"/>
      <c r="BT105" s="316"/>
      <c r="BU105" s="315"/>
      <c r="BV105" s="315"/>
      <c r="BW105" s="315"/>
      <c r="BX105" s="315"/>
      <c r="BY105" s="315"/>
      <c r="BZ105" s="315"/>
    </row>
    <row r="106" spans="3:78" s="311" customFormat="1" ht="13.5" customHeight="1" x14ac:dyDescent="0.2">
      <c r="C106" s="321" t="s">
        <v>315</v>
      </c>
      <c r="D106" s="319"/>
      <c r="K106" s="502"/>
      <c r="L106" s="502"/>
      <c r="N106" s="309"/>
      <c r="U106" s="320"/>
      <c r="V106" s="502"/>
      <c r="Y106" s="320"/>
      <c r="Z106" s="665"/>
      <c r="AE106" s="309"/>
      <c r="AF106" s="309"/>
      <c r="AG106" s="313"/>
      <c r="AI106" s="313"/>
      <c r="AJ106" s="313"/>
      <c r="AK106" s="314"/>
      <c r="AP106" s="502"/>
      <c r="AQ106" s="502"/>
      <c r="AV106" s="315"/>
      <c r="AW106" s="315"/>
      <c r="AX106" s="315"/>
      <c r="AY106" s="315"/>
      <c r="AZ106" s="315"/>
      <c r="BA106" s="315"/>
      <c r="BB106" s="315"/>
      <c r="BC106" s="315"/>
      <c r="BD106" s="315"/>
      <c r="BE106" s="315"/>
      <c r="BF106" s="315"/>
      <c r="BG106" s="315"/>
      <c r="BH106" s="315"/>
      <c r="BI106" s="315"/>
      <c r="BJ106" s="315"/>
      <c r="BK106" s="315"/>
      <c r="BL106" s="315"/>
      <c r="BM106" s="315"/>
      <c r="BN106" s="315"/>
      <c r="BO106" s="315"/>
      <c r="BP106" s="315"/>
      <c r="BQ106" s="315"/>
      <c r="BR106" s="316"/>
      <c r="BS106" s="316"/>
      <c r="BT106" s="316"/>
      <c r="BU106" s="315"/>
      <c r="BV106" s="315"/>
      <c r="BW106" s="315"/>
      <c r="BX106" s="315"/>
      <c r="BY106" s="315"/>
      <c r="BZ106" s="315"/>
    </row>
    <row r="107" spans="3:78" s="311" customFormat="1" ht="13.5" customHeight="1" x14ac:dyDescent="0.2">
      <c r="C107" s="321" t="s">
        <v>316</v>
      </c>
      <c r="D107" s="319"/>
      <c r="K107" s="502"/>
      <c r="L107" s="502"/>
      <c r="N107" s="309"/>
      <c r="U107" s="320"/>
      <c r="V107" s="502"/>
      <c r="Y107" s="320"/>
      <c r="Z107" s="665"/>
      <c r="AE107" s="309"/>
      <c r="AF107" s="309"/>
      <c r="AG107" s="313"/>
      <c r="AI107" s="313"/>
      <c r="AJ107" s="313"/>
      <c r="AK107" s="314"/>
      <c r="AP107" s="502"/>
      <c r="AQ107" s="502"/>
      <c r="AV107" s="315"/>
      <c r="AW107" s="315"/>
      <c r="AX107" s="315"/>
      <c r="AY107" s="315"/>
      <c r="AZ107" s="315"/>
      <c r="BA107" s="315"/>
      <c r="BB107" s="315"/>
      <c r="BC107" s="315"/>
      <c r="BD107" s="315"/>
      <c r="BE107" s="315"/>
      <c r="BF107" s="315"/>
      <c r="BG107" s="315"/>
      <c r="BH107" s="315"/>
      <c r="BI107" s="315"/>
      <c r="BJ107" s="315"/>
      <c r="BK107" s="315"/>
      <c r="BL107" s="315"/>
      <c r="BM107" s="315"/>
      <c r="BN107" s="315"/>
      <c r="BO107" s="315"/>
      <c r="BP107" s="315"/>
      <c r="BQ107" s="315"/>
      <c r="BR107" s="316"/>
      <c r="BS107" s="316"/>
      <c r="BT107" s="316"/>
      <c r="BU107" s="315"/>
      <c r="BV107" s="315"/>
      <c r="BW107" s="315"/>
      <c r="BX107" s="315"/>
      <c r="BY107" s="315"/>
      <c r="BZ107" s="315"/>
    </row>
    <row r="108" spans="3:78" s="311" customFormat="1" ht="13.5" customHeight="1" x14ac:dyDescent="0.2">
      <c r="C108" s="321" t="s">
        <v>317</v>
      </c>
      <c r="D108" s="319"/>
      <c r="K108" s="502"/>
      <c r="L108" s="502"/>
      <c r="N108" s="309"/>
      <c r="U108" s="320"/>
      <c r="V108" s="502"/>
      <c r="Y108" s="320"/>
      <c r="Z108" s="665"/>
      <c r="AE108" s="309"/>
      <c r="AF108" s="309"/>
      <c r="AG108" s="313"/>
      <c r="AI108" s="313"/>
      <c r="AJ108" s="313"/>
      <c r="AK108" s="314"/>
      <c r="AP108" s="502"/>
      <c r="AQ108" s="502"/>
      <c r="AV108" s="315"/>
      <c r="AW108" s="315"/>
      <c r="AX108" s="315"/>
      <c r="AY108" s="315"/>
      <c r="AZ108" s="315"/>
      <c r="BA108" s="315"/>
      <c r="BB108" s="315"/>
      <c r="BC108" s="315"/>
      <c r="BD108" s="315"/>
      <c r="BE108" s="315"/>
      <c r="BF108" s="315"/>
      <c r="BG108" s="315"/>
      <c r="BH108" s="315"/>
      <c r="BI108" s="315"/>
      <c r="BJ108" s="315"/>
      <c r="BK108" s="315"/>
      <c r="BL108" s="315"/>
      <c r="BM108" s="315"/>
      <c r="BN108" s="315"/>
      <c r="BO108" s="315"/>
      <c r="BP108" s="315"/>
      <c r="BQ108" s="315"/>
      <c r="BR108" s="316"/>
      <c r="BS108" s="316"/>
      <c r="BT108" s="316"/>
      <c r="BU108" s="315"/>
      <c r="BV108" s="315"/>
      <c r="BW108" s="315"/>
      <c r="BX108" s="315"/>
      <c r="BY108" s="315"/>
      <c r="BZ108" s="315"/>
    </row>
    <row r="109" spans="3:78" s="311" customFormat="1" ht="13.5" customHeight="1" x14ac:dyDescent="0.2">
      <c r="C109" s="321" t="s">
        <v>318</v>
      </c>
      <c r="D109" s="319"/>
      <c r="K109" s="502"/>
      <c r="L109" s="502"/>
      <c r="N109" s="309"/>
      <c r="U109" s="320"/>
      <c r="V109" s="502"/>
      <c r="Y109" s="320"/>
      <c r="Z109" s="665"/>
      <c r="AE109" s="309"/>
      <c r="AF109" s="309"/>
      <c r="AG109" s="313"/>
      <c r="AI109" s="313"/>
      <c r="AJ109" s="313"/>
      <c r="AK109" s="314"/>
      <c r="AP109" s="502"/>
      <c r="AQ109" s="502"/>
      <c r="AV109" s="315"/>
      <c r="AW109" s="315"/>
      <c r="AX109" s="315"/>
      <c r="AY109" s="315"/>
      <c r="AZ109" s="315"/>
      <c r="BA109" s="315"/>
      <c r="BB109" s="315"/>
      <c r="BC109" s="315"/>
      <c r="BD109" s="315"/>
      <c r="BE109" s="315"/>
      <c r="BF109" s="315"/>
      <c r="BG109" s="315"/>
      <c r="BH109" s="315"/>
      <c r="BI109" s="315"/>
      <c r="BJ109" s="315"/>
      <c r="BK109" s="315"/>
      <c r="BL109" s="315"/>
      <c r="BM109" s="315"/>
      <c r="BN109" s="315"/>
      <c r="BO109" s="315"/>
      <c r="BP109" s="315"/>
      <c r="BQ109" s="315"/>
      <c r="BR109" s="316"/>
      <c r="BS109" s="316"/>
      <c r="BT109" s="316"/>
      <c r="BU109" s="315"/>
      <c r="BV109" s="315"/>
      <c r="BW109" s="315"/>
      <c r="BX109" s="315"/>
      <c r="BY109" s="315"/>
      <c r="BZ109" s="315"/>
    </row>
    <row r="110" spans="3:78" s="311" customFormat="1" ht="13.5" customHeight="1" x14ac:dyDescent="0.2">
      <c r="C110" s="322" t="s">
        <v>19</v>
      </c>
      <c r="D110" s="319"/>
      <c r="K110" s="502"/>
      <c r="L110" s="502"/>
      <c r="N110" s="309"/>
      <c r="U110" s="320"/>
      <c r="V110" s="502"/>
      <c r="Y110" s="320"/>
      <c r="Z110" s="665"/>
      <c r="AE110" s="309"/>
      <c r="AF110" s="309"/>
      <c r="AG110" s="313"/>
      <c r="AI110" s="313"/>
      <c r="AJ110" s="313"/>
      <c r="AK110" s="314"/>
      <c r="AP110" s="502"/>
      <c r="AQ110" s="502"/>
      <c r="AV110" s="315"/>
      <c r="AW110" s="315"/>
      <c r="AX110" s="315"/>
      <c r="AY110" s="315"/>
      <c r="AZ110" s="315"/>
      <c r="BA110" s="315"/>
      <c r="BB110" s="315"/>
      <c r="BC110" s="315"/>
      <c r="BD110" s="315"/>
      <c r="BE110" s="315"/>
      <c r="BF110" s="315"/>
      <c r="BG110" s="315"/>
      <c r="BH110" s="315"/>
      <c r="BI110" s="315"/>
      <c r="BJ110" s="315"/>
      <c r="BK110" s="315"/>
      <c r="BL110" s="315"/>
      <c r="BM110" s="315"/>
      <c r="BN110" s="315"/>
      <c r="BO110" s="315"/>
      <c r="BP110" s="315"/>
      <c r="BQ110" s="315"/>
      <c r="BR110" s="316"/>
      <c r="BS110" s="316"/>
      <c r="BT110" s="316"/>
      <c r="BU110" s="315"/>
      <c r="BV110" s="315"/>
      <c r="BW110" s="315"/>
      <c r="BX110" s="315"/>
      <c r="BY110" s="315"/>
      <c r="BZ110" s="315"/>
    </row>
    <row r="111" spans="3:78" s="311" customFormat="1" ht="13.5" customHeight="1" x14ac:dyDescent="0.2">
      <c r="C111" s="322" t="s">
        <v>20</v>
      </c>
      <c r="D111" s="319"/>
      <c r="K111" s="502"/>
      <c r="L111" s="502"/>
      <c r="N111" s="309"/>
      <c r="U111" s="320"/>
      <c r="V111" s="502"/>
      <c r="Y111" s="320"/>
      <c r="Z111" s="665"/>
      <c r="AE111" s="309"/>
      <c r="AF111" s="309"/>
      <c r="AG111" s="313"/>
      <c r="AI111" s="313"/>
      <c r="AJ111" s="313"/>
      <c r="AK111" s="314"/>
      <c r="AP111" s="502"/>
      <c r="AQ111" s="502"/>
      <c r="AV111" s="315"/>
      <c r="AW111" s="315"/>
      <c r="AX111" s="315"/>
      <c r="AY111" s="315"/>
      <c r="AZ111" s="315"/>
      <c r="BA111" s="315"/>
      <c r="BB111" s="315"/>
      <c r="BC111" s="315"/>
      <c r="BD111" s="315"/>
      <c r="BE111" s="315"/>
      <c r="BF111" s="315"/>
      <c r="BG111" s="315"/>
      <c r="BH111" s="315"/>
      <c r="BI111" s="315"/>
      <c r="BJ111" s="315"/>
      <c r="BK111" s="315"/>
      <c r="BL111" s="315"/>
      <c r="BM111" s="315"/>
      <c r="BN111" s="315"/>
      <c r="BO111" s="315"/>
      <c r="BP111" s="315"/>
      <c r="BQ111" s="315"/>
      <c r="BR111" s="316"/>
      <c r="BS111" s="316"/>
      <c r="BT111" s="316"/>
      <c r="BU111" s="315"/>
      <c r="BV111" s="315"/>
      <c r="BW111" s="315"/>
      <c r="BX111" s="315"/>
      <c r="BY111" s="315"/>
      <c r="BZ111" s="315"/>
    </row>
    <row r="112" spans="3:78" s="311" customFormat="1" ht="13.5" customHeight="1" x14ac:dyDescent="0.2">
      <c r="C112" s="322" t="s">
        <v>67</v>
      </c>
      <c r="D112" s="319"/>
      <c r="K112" s="502"/>
      <c r="L112" s="502"/>
      <c r="N112" s="309"/>
      <c r="U112" s="320"/>
      <c r="V112" s="502"/>
      <c r="Y112" s="320"/>
      <c r="Z112" s="665"/>
      <c r="AE112" s="309"/>
      <c r="AF112" s="309"/>
      <c r="AG112" s="313"/>
      <c r="AI112" s="313"/>
      <c r="AJ112" s="313"/>
      <c r="AK112" s="314"/>
      <c r="AP112" s="502"/>
      <c r="AQ112" s="502"/>
      <c r="AV112" s="315"/>
      <c r="AW112" s="315"/>
      <c r="AX112" s="315"/>
      <c r="AY112" s="315"/>
      <c r="AZ112" s="315"/>
      <c r="BA112" s="315"/>
      <c r="BB112" s="315"/>
      <c r="BC112" s="315"/>
      <c r="BD112" s="315"/>
      <c r="BE112" s="315"/>
      <c r="BF112" s="315"/>
      <c r="BG112" s="315"/>
      <c r="BH112" s="315"/>
      <c r="BI112" s="315"/>
      <c r="BJ112" s="315"/>
      <c r="BK112" s="315"/>
      <c r="BL112" s="315"/>
      <c r="BM112" s="315"/>
      <c r="BN112" s="315"/>
      <c r="BO112" s="315"/>
      <c r="BP112" s="315"/>
      <c r="BQ112" s="315"/>
      <c r="BR112" s="316"/>
      <c r="BS112" s="316"/>
      <c r="BT112" s="316"/>
      <c r="BU112" s="315"/>
      <c r="BV112" s="315"/>
      <c r="BW112" s="315"/>
      <c r="BX112" s="315"/>
      <c r="BY112" s="315"/>
      <c r="BZ112" s="315"/>
    </row>
    <row r="113" spans="3:78" s="311" customFormat="1" ht="13.5" customHeight="1" x14ac:dyDescent="0.2">
      <c r="C113" s="322" t="s">
        <v>63</v>
      </c>
      <c r="D113" s="319"/>
      <c r="K113" s="502"/>
      <c r="L113" s="502"/>
      <c r="N113" s="309"/>
      <c r="U113" s="320"/>
      <c r="V113" s="502"/>
      <c r="Y113" s="320"/>
      <c r="Z113" s="665"/>
      <c r="AE113" s="309"/>
      <c r="AF113" s="309"/>
      <c r="AG113" s="313"/>
      <c r="AI113" s="313"/>
      <c r="AJ113" s="313"/>
      <c r="AK113" s="314"/>
      <c r="AP113" s="502"/>
      <c r="AQ113" s="502"/>
      <c r="AV113" s="315"/>
      <c r="AW113" s="315"/>
      <c r="AX113" s="315"/>
      <c r="AY113" s="315"/>
      <c r="AZ113" s="315"/>
      <c r="BA113" s="315"/>
      <c r="BB113" s="315"/>
      <c r="BC113" s="315"/>
      <c r="BD113" s="315"/>
      <c r="BE113" s="315"/>
      <c r="BF113" s="315"/>
      <c r="BG113" s="315"/>
      <c r="BH113" s="315"/>
      <c r="BI113" s="315"/>
      <c r="BJ113" s="315"/>
      <c r="BK113" s="315"/>
      <c r="BL113" s="315"/>
      <c r="BM113" s="315"/>
      <c r="BN113" s="315"/>
      <c r="BO113" s="315"/>
      <c r="BP113" s="315"/>
      <c r="BQ113" s="315"/>
      <c r="BR113" s="316"/>
      <c r="BS113" s="316"/>
      <c r="BT113" s="316"/>
      <c r="BU113" s="315"/>
      <c r="BV113" s="315"/>
      <c r="BW113" s="315"/>
      <c r="BX113" s="315"/>
      <c r="BY113" s="315"/>
      <c r="BZ113" s="315"/>
    </row>
    <row r="114" spans="3:78" s="311" customFormat="1" ht="13.5" customHeight="1" x14ac:dyDescent="0.2">
      <c r="C114" s="322" t="s">
        <v>64</v>
      </c>
      <c r="D114" s="319"/>
      <c r="K114" s="502"/>
      <c r="L114" s="502"/>
      <c r="N114" s="309"/>
      <c r="U114" s="320"/>
      <c r="V114" s="502"/>
      <c r="Y114" s="320"/>
      <c r="Z114" s="665"/>
      <c r="AE114" s="309"/>
      <c r="AF114" s="309"/>
      <c r="AG114" s="313"/>
      <c r="AI114" s="313"/>
      <c r="AJ114" s="313"/>
      <c r="AK114" s="314"/>
      <c r="AP114" s="502"/>
      <c r="AQ114" s="502"/>
      <c r="AV114" s="315"/>
      <c r="AW114" s="315"/>
      <c r="AX114" s="315"/>
      <c r="AY114" s="315"/>
      <c r="AZ114" s="315"/>
      <c r="BA114" s="315"/>
      <c r="BB114" s="315"/>
      <c r="BC114" s="315"/>
      <c r="BD114" s="315"/>
      <c r="BE114" s="315"/>
      <c r="BF114" s="315"/>
      <c r="BG114" s="315"/>
      <c r="BH114" s="315"/>
      <c r="BI114" s="315"/>
      <c r="BJ114" s="315"/>
      <c r="BK114" s="315"/>
      <c r="BL114" s="315"/>
      <c r="BM114" s="315"/>
      <c r="BN114" s="315"/>
      <c r="BO114" s="315"/>
      <c r="BP114" s="315"/>
      <c r="BQ114" s="315"/>
      <c r="BR114" s="316"/>
      <c r="BS114" s="316"/>
      <c r="BT114" s="316"/>
      <c r="BU114" s="315"/>
      <c r="BV114" s="315"/>
      <c r="BW114" s="315"/>
      <c r="BX114" s="315"/>
      <c r="BY114" s="315"/>
      <c r="BZ114" s="315"/>
    </row>
    <row r="115" spans="3:78" s="311" customFormat="1" ht="13.5" customHeight="1" x14ac:dyDescent="0.2">
      <c r="C115" s="322" t="s">
        <v>65</v>
      </c>
      <c r="D115" s="319"/>
      <c r="K115" s="502"/>
      <c r="L115" s="502"/>
      <c r="N115" s="309"/>
      <c r="U115" s="320"/>
      <c r="V115" s="502"/>
      <c r="Y115" s="320"/>
      <c r="Z115" s="665"/>
      <c r="AE115" s="309"/>
      <c r="AF115" s="309"/>
      <c r="AG115" s="313"/>
      <c r="AI115" s="313"/>
      <c r="AJ115" s="313"/>
      <c r="AK115" s="314"/>
      <c r="AP115" s="502"/>
      <c r="AQ115" s="502"/>
      <c r="AV115" s="315"/>
      <c r="AW115" s="315"/>
      <c r="AX115" s="315"/>
      <c r="AY115" s="315"/>
      <c r="AZ115" s="315"/>
      <c r="BA115" s="315"/>
      <c r="BB115" s="315"/>
      <c r="BC115" s="315"/>
      <c r="BD115" s="315"/>
      <c r="BE115" s="315"/>
      <c r="BF115" s="315"/>
      <c r="BG115" s="315"/>
      <c r="BH115" s="315"/>
      <c r="BI115" s="315"/>
      <c r="BJ115" s="315"/>
      <c r="BK115" s="315"/>
      <c r="BL115" s="315"/>
      <c r="BM115" s="315"/>
      <c r="BN115" s="315"/>
      <c r="BO115" s="315"/>
      <c r="BP115" s="315"/>
      <c r="BQ115" s="315"/>
      <c r="BR115" s="316"/>
      <c r="BS115" s="316"/>
      <c r="BT115" s="316"/>
      <c r="BU115" s="315"/>
      <c r="BV115" s="315"/>
      <c r="BW115" s="315"/>
      <c r="BX115" s="315"/>
      <c r="BY115" s="315"/>
      <c r="BZ115" s="315"/>
    </row>
    <row r="116" spans="3:78" s="311" customFormat="1" ht="13.5" customHeight="1" x14ac:dyDescent="0.2">
      <c r="C116" s="322" t="s">
        <v>66</v>
      </c>
      <c r="D116" s="319"/>
      <c r="K116" s="502"/>
      <c r="L116" s="502"/>
      <c r="N116" s="309"/>
      <c r="U116" s="320"/>
      <c r="V116" s="502"/>
      <c r="Y116" s="320"/>
      <c r="Z116" s="665"/>
      <c r="AE116" s="309"/>
      <c r="AF116" s="309"/>
      <c r="AG116" s="313"/>
      <c r="AI116" s="313"/>
      <c r="AJ116" s="313"/>
      <c r="AK116" s="314"/>
      <c r="AP116" s="502"/>
      <c r="AQ116" s="502"/>
      <c r="AV116" s="315"/>
      <c r="AW116" s="315"/>
      <c r="AX116" s="315"/>
      <c r="AY116" s="315"/>
      <c r="AZ116" s="315"/>
      <c r="BA116" s="315"/>
      <c r="BB116" s="315"/>
      <c r="BC116" s="315"/>
      <c r="BD116" s="315"/>
      <c r="BE116" s="315"/>
      <c r="BF116" s="315"/>
      <c r="BG116" s="315"/>
      <c r="BH116" s="315"/>
      <c r="BI116" s="315"/>
      <c r="BJ116" s="315"/>
      <c r="BK116" s="315"/>
      <c r="BL116" s="315"/>
      <c r="BM116" s="315"/>
      <c r="BN116" s="315"/>
      <c r="BO116" s="315"/>
      <c r="BP116" s="315"/>
      <c r="BQ116" s="315"/>
      <c r="BR116" s="316"/>
      <c r="BS116" s="316"/>
      <c r="BT116" s="316"/>
      <c r="BU116" s="315"/>
      <c r="BV116" s="315"/>
      <c r="BW116" s="315"/>
      <c r="BX116" s="315"/>
      <c r="BY116" s="315"/>
      <c r="BZ116" s="315"/>
    </row>
    <row r="117" spans="3:78" s="311" customFormat="1" ht="13.5" customHeight="1" x14ac:dyDescent="0.2">
      <c r="C117" s="322">
        <v>1</v>
      </c>
      <c r="D117" s="319"/>
      <c r="K117" s="502"/>
      <c r="L117" s="502"/>
      <c r="N117" s="309"/>
      <c r="U117" s="320"/>
      <c r="V117" s="502"/>
      <c r="Y117" s="320"/>
      <c r="Z117" s="665"/>
      <c r="AE117" s="309"/>
      <c r="AF117" s="309"/>
      <c r="AG117" s="313"/>
      <c r="AI117" s="313"/>
      <c r="AJ117" s="313"/>
      <c r="AK117" s="314"/>
      <c r="AP117" s="502"/>
      <c r="AQ117" s="502"/>
      <c r="AV117" s="315"/>
      <c r="AW117" s="315"/>
      <c r="AX117" s="315"/>
      <c r="AY117" s="315"/>
      <c r="AZ117" s="315"/>
      <c r="BA117" s="315"/>
      <c r="BB117" s="315"/>
      <c r="BC117" s="315"/>
      <c r="BD117" s="315"/>
      <c r="BE117" s="315"/>
      <c r="BF117" s="315"/>
      <c r="BG117" s="315"/>
      <c r="BH117" s="315"/>
      <c r="BI117" s="315"/>
      <c r="BJ117" s="315"/>
      <c r="BK117" s="315"/>
      <c r="BL117" s="315"/>
      <c r="BM117" s="315"/>
      <c r="BN117" s="315"/>
      <c r="BO117" s="315"/>
      <c r="BP117" s="315"/>
      <c r="BQ117" s="315"/>
      <c r="BR117" s="316"/>
      <c r="BS117" s="316"/>
      <c r="BT117" s="316"/>
      <c r="BU117" s="315"/>
      <c r="BV117" s="315"/>
      <c r="BW117" s="315"/>
      <c r="BX117" s="315"/>
      <c r="BY117" s="315"/>
      <c r="BZ117" s="315"/>
    </row>
    <row r="118" spans="3:78" s="311" customFormat="1" ht="13.5" customHeight="1" x14ac:dyDescent="0.2">
      <c r="C118" s="322">
        <v>2</v>
      </c>
      <c r="D118" s="319"/>
      <c r="K118" s="502"/>
      <c r="L118" s="502"/>
      <c r="N118" s="309"/>
      <c r="U118" s="320"/>
      <c r="V118" s="502"/>
      <c r="Y118" s="320"/>
      <c r="Z118" s="665"/>
      <c r="AE118" s="309"/>
      <c r="AF118" s="309"/>
      <c r="AG118" s="313"/>
      <c r="AI118" s="313"/>
      <c r="AJ118" s="313"/>
      <c r="AK118" s="314"/>
      <c r="AP118" s="502"/>
      <c r="AQ118" s="502"/>
      <c r="AV118" s="315"/>
      <c r="AW118" s="315"/>
      <c r="AX118" s="315"/>
      <c r="AY118" s="315"/>
      <c r="AZ118" s="315"/>
      <c r="BA118" s="315"/>
      <c r="BB118" s="315"/>
      <c r="BC118" s="315"/>
      <c r="BD118" s="315"/>
      <c r="BE118" s="315"/>
      <c r="BF118" s="315"/>
      <c r="BG118" s="315"/>
      <c r="BH118" s="315"/>
      <c r="BI118" s="315"/>
      <c r="BJ118" s="315"/>
      <c r="BK118" s="315"/>
      <c r="BL118" s="315"/>
      <c r="BM118" s="315"/>
      <c r="BN118" s="315"/>
      <c r="BO118" s="315"/>
      <c r="BP118" s="315"/>
      <c r="BQ118" s="315"/>
      <c r="BR118" s="316"/>
      <c r="BS118" s="316"/>
      <c r="BT118" s="316"/>
      <c r="BU118" s="315"/>
      <c r="BV118" s="315"/>
      <c r="BW118" s="315"/>
      <c r="BX118" s="315"/>
      <c r="BY118" s="315"/>
      <c r="BZ118" s="315"/>
    </row>
    <row r="119" spans="3:78" s="311" customFormat="1" ht="13.5" customHeight="1" x14ac:dyDescent="0.2">
      <c r="C119" s="322">
        <v>3</v>
      </c>
      <c r="D119" s="319"/>
      <c r="K119" s="502"/>
      <c r="L119" s="502"/>
      <c r="N119" s="309"/>
      <c r="U119" s="320"/>
      <c r="V119" s="502"/>
      <c r="Y119" s="320"/>
      <c r="Z119" s="665"/>
      <c r="AE119" s="309"/>
      <c r="AF119" s="309"/>
      <c r="AG119" s="313"/>
      <c r="AI119" s="313"/>
      <c r="AJ119" s="313"/>
      <c r="AK119" s="314"/>
      <c r="AP119" s="502"/>
      <c r="AQ119" s="502"/>
      <c r="AV119" s="315"/>
      <c r="AW119" s="315"/>
      <c r="AX119" s="315"/>
      <c r="AY119" s="315"/>
      <c r="AZ119" s="315"/>
      <c r="BA119" s="315"/>
      <c r="BB119" s="315"/>
      <c r="BC119" s="315"/>
      <c r="BD119" s="315"/>
      <c r="BE119" s="315"/>
      <c r="BF119" s="315"/>
      <c r="BG119" s="315"/>
      <c r="BH119" s="315"/>
      <c r="BI119" s="315"/>
      <c r="BJ119" s="315"/>
      <c r="BK119" s="315"/>
      <c r="BL119" s="315"/>
      <c r="BM119" s="315"/>
      <c r="BN119" s="315"/>
      <c r="BO119" s="315"/>
      <c r="BP119" s="315"/>
      <c r="BQ119" s="315"/>
      <c r="BR119" s="316"/>
      <c r="BS119" s="316"/>
      <c r="BT119" s="316"/>
      <c r="BU119" s="315"/>
      <c r="BV119" s="315"/>
      <c r="BW119" s="315"/>
      <c r="BX119" s="315"/>
      <c r="BY119" s="315"/>
      <c r="BZ119" s="315"/>
    </row>
    <row r="120" spans="3:78" s="311" customFormat="1" ht="13.5" customHeight="1" x14ac:dyDescent="0.2">
      <c r="C120" s="322">
        <v>4</v>
      </c>
      <c r="D120" s="319"/>
      <c r="K120" s="502"/>
      <c r="L120" s="502"/>
      <c r="N120" s="309"/>
      <c r="U120" s="320"/>
      <c r="V120" s="502"/>
      <c r="Y120" s="320"/>
      <c r="Z120" s="665"/>
      <c r="AE120" s="309"/>
      <c r="AF120" s="309"/>
      <c r="AG120" s="313"/>
      <c r="AI120" s="313"/>
      <c r="AJ120" s="313"/>
      <c r="AK120" s="314"/>
      <c r="AP120" s="502"/>
      <c r="AQ120" s="502"/>
      <c r="AV120" s="315"/>
      <c r="AW120" s="315"/>
      <c r="AX120" s="315"/>
      <c r="AY120" s="315"/>
      <c r="AZ120" s="315"/>
      <c r="BA120" s="315"/>
      <c r="BB120" s="315"/>
      <c r="BC120" s="315"/>
      <c r="BD120" s="315"/>
      <c r="BE120" s="315"/>
      <c r="BF120" s="315"/>
      <c r="BG120" s="315"/>
      <c r="BH120" s="315"/>
      <c r="BI120" s="315"/>
      <c r="BJ120" s="315"/>
      <c r="BK120" s="315"/>
      <c r="BL120" s="315"/>
      <c r="BM120" s="315"/>
      <c r="BN120" s="315"/>
      <c r="BO120" s="315"/>
      <c r="BP120" s="315"/>
      <c r="BQ120" s="315"/>
      <c r="BR120" s="316"/>
      <c r="BS120" s="316"/>
      <c r="BT120" s="316"/>
      <c r="BU120" s="315"/>
      <c r="BV120" s="315"/>
      <c r="BW120" s="315"/>
      <c r="BX120" s="315"/>
      <c r="BY120" s="315"/>
      <c r="BZ120" s="315"/>
    </row>
    <row r="121" spans="3:78" s="311" customFormat="1" ht="13.5" customHeight="1" x14ac:dyDescent="0.2">
      <c r="C121" s="322">
        <v>5</v>
      </c>
      <c r="D121" s="319"/>
      <c r="K121" s="502"/>
      <c r="L121" s="502"/>
      <c r="N121" s="309"/>
      <c r="U121" s="320"/>
      <c r="V121" s="502"/>
      <c r="Y121" s="320"/>
      <c r="Z121" s="665"/>
      <c r="AE121" s="309"/>
      <c r="AF121" s="309"/>
      <c r="AG121" s="313"/>
      <c r="AI121" s="313"/>
      <c r="AJ121" s="313"/>
      <c r="AK121" s="314"/>
      <c r="AP121" s="502"/>
      <c r="AQ121" s="502"/>
      <c r="AV121" s="315"/>
      <c r="AW121" s="315"/>
      <c r="AX121" s="315"/>
      <c r="AY121" s="315"/>
      <c r="AZ121" s="315"/>
      <c r="BA121" s="315"/>
      <c r="BB121" s="315"/>
      <c r="BC121" s="315"/>
      <c r="BD121" s="315"/>
      <c r="BE121" s="315"/>
      <c r="BF121" s="315"/>
      <c r="BG121" s="315"/>
      <c r="BH121" s="315"/>
      <c r="BI121" s="315"/>
      <c r="BJ121" s="315"/>
      <c r="BK121" s="315"/>
      <c r="BL121" s="315"/>
      <c r="BM121" s="315"/>
      <c r="BN121" s="315"/>
      <c r="BO121" s="315"/>
      <c r="BP121" s="315"/>
      <c r="BQ121" s="315"/>
      <c r="BR121" s="316"/>
      <c r="BS121" s="316"/>
      <c r="BT121" s="316"/>
      <c r="BU121" s="315"/>
      <c r="BV121" s="315"/>
      <c r="BW121" s="315"/>
      <c r="BX121" s="315"/>
      <c r="BY121" s="315"/>
      <c r="BZ121" s="315"/>
    </row>
    <row r="122" spans="3:78" s="311" customFormat="1" ht="13.5" customHeight="1" x14ac:dyDescent="0.2">
      <c r="C122" s="322">
        <v>6</v>
      </c>
      <c r="D122" s="319"/>
      <c r="K122" s="502"/>
      <c r="L122" s="502"/>
      <c r="N122" s="309"/>
      <c r="U122" s="320"/>
      <c r="V122" s="502"/>
      <c r="Y122" s="320"/>
      <c r="Z122" s="665"/>
      <c r="AE122" s="309"/>
      <c r="AF122" s="309"/>
      <c r="AG122" s="313"/>
      <c r="AI122" s="313"/>
      <c r="AJ122" s="313"/>
      <c r="AK122" s="314"/>
      <c r="AP122" s="502"/>
      <c r="AQ122" s="502"/>
      <c r="AV122" s="315"/>
      <c r="AW122" s="315"/>
      <c r="AX122" s="315"/>
      <c r="AY122" s="315"/>
      <c r="AZ122" s="315"/>
      <c r="BA122" s="315"/>
      <c r="BB122" s="315"/>
      <c r="BC122" s="315"/>
      <c r="BD122" s="315"/>
      <c r="BE122" s="315"/>
      <c r="BF122" s="315"/>
      <c r="BG122" s="315"/>
      <c r="BH122" s="315"/>
      <c r="BI122" s="315"/>
      <c r="BJ122" s="315"/>
      <c r="BK122" s="315"/>
      <c r="BL122" s="315"/>
      <c r="BM122" s="315"/>
      <c r="BN122" s="315"/>
      <c r="BO122" s="315"/>
      <c r="BP122" s="315"/>
      <c r="BQ122" s="315"/>
      <c r="BR122" s="316"/>
      <c r="BS122" s="316"/>
      <c r="BT122" s="316"/>
      <c r="BU122" s="315"/>
      <c r="BV122" s="315"/>
      <c r="BW122" s="315"/>
      <c r="BX122" s="315"/>
      <c r="BY122" s="315"/>
      <c r="BZ122" s="315"/>
    </row>
    <row r="123" spans="3:78" s="311" customFormat="1" ht="13.5" customHeight="1" x14ac:dyDescent="0.2">
      <c r="C123" s="322">
        <v>7</v>
      </c>
      <c r="D123" s="319"/>
      <c r="K123" s="502"/>
      <c r="L123" s="502"/>
      <c r="N123" s="309"/>
      <c r="U123" s="320"/>
      <c r="V123" s="502"/>
      <c r="Y123" s="320"/>
      <c r="Z123" s="665"/>
      <c r="AE123" s="309"/>
      <c r="AF123" s="309"/>
      <c r="AG123" s="313"/>
      <c r="AI123" s="313"/>
      <c r="AJ123" s="313"/>
      <c r="AK123" s="314"/>
      <c r="AP123" s="502"/>
      <c r="AQ123" s="502"/>
      <c r="AV123" s="315"/>
      <c r="AW123" s="315"/>
      <c r="AX123" s="315"/>
      <c r="AY123" s="315"/>
      <c r="AZ123" s="315"/>
      <c r="BA123" s="315"/>
      <c r="BB123" s="315"/>
      <c r="BC123" s="315"/>
      <c r="BD123" s="315"/>
      <c r="BE123" s="315"/>
      <c r="BF123" s="315"/>
      <c r="BG123" s="315"/>
      <c r="BH123" s="315"/>
      <c r="BI123" s="315"/>
      <c r="BJ123" s="315"/>
      <c r="BK123" s="315"/>
      <c r="BL123" s="315"/>
      <c r="BM123" s="315"/>
      <c r="BN123" s="315"/>
      <c r="BO123" s="315"/>
      <c r="BP123" s="315"/>
      <c r="BQ123" s="315"/>
      <c r="BR123" s="316"/>
      <c r="BS123" s="316"/>
      <c r="BT123" s="316"/>
      <c r="BU123" s="315"/>
      <c r="BV123" s="315"/>
      <c r="BW123" s="315"/>
      <c r="BX123" s="315"/>
      <c r="BY123" s="315"/>
      <c r="BZ123" s="315"/>
    </row>
    <row r="124" spans="3:78" s="311" customFormat="1" ht="13.5" customHeight="1" x14ac:dyDescent="0.2">
      <c r="C124" s="322">
        <v>8</v>
      </c>
      <c r="D124" s="319"/>
      <c r="K124" s="502"/>
      <c r="L124" s="502"/>
      <c r="N124" s="309"/>
      <c r="U124" s="320"/>
      <c r="V124" s="502"/>
      <c r="Y124" s="320"/>
      <c r="Z124" s="665"/>
      <c r="AE124" s="309"/>
      <c r="AF124" s="309"/>
      <c r="AG124" s="313"/>
      <c r="AI124" s="313"/>
      <c r="AJ124" s="313"/>
      <c r="AK124" s="314"/>
      <c r="AP124" s="502"/>
      <c r="AQ124" s="502"/>
      <c r="AV124" s="315"/>
      <c r="AW124" s="315"/>
      <c r="AX124" s="315"/>
      <c r="AY124" s="315"/>
      <c r="AZ124" s="315"/>
      <c r="BA124" s="315"/>
      <c r="BB124" s="315"/>
      <c r="BC124" s="315"/>
      <c r="BD124" s="315"/>
      <c r="BE124" s="315"/>
      <c r="BF124" s="315"/>
      <c r="BG124" s="315"/>
      <c r="BH124" s="315"/>
      <c r="BI124" s="315"/>
      <c r="BJ124" s="315"/>
      <c r="BK124" s="315"/>
      <c r="BL124" s="315"/>
      <c r="BM124" s="315"/>
      <c r="BN124" s="315"/>
      <c r="BO124" s="315"/>
      <c r="BP124" s="315"/>
      <c r="BQ124" s="315"/>
      <c r="BR124" s="316"/>
      <c r="BS124" s="316"/>
      <c r="BT124" s="316"/>
      <c r="BU124" s="315"/>
      <c r="BV124" s="315"/>
      <c r="BW124" s="315"/>
      <c r="BX124" s="315"/>
      <c r="BY124" s="315"/>
      <c r="BZ124" s="315"/>
    </row>
    <row r="125" spans="3:78" s="311" customFormat="1" ht="13.5" customHeight="1" x14ac:dyDescent="0.2">
      <c r="C125" s="322">
        <v>9</v>
      </c>
      <c r="D125" s="319"/>
      <c r="K125" s="502"/>
      <c r="L125" s="502"/>
      <c r="N125" s="309"/>
      <c r="U125" s="320"/>
      <c r="V125" s="502"/>
      <c r="Y125" s="320"/>
      <c r="Z125" s="665"/>
      <c r="AE125" s="309"/>
      <c r="AF125" s="309"/>
      <c r="AG125" s="313"/>
      <c r="AI125" s="313"/>
      <c r="AJ125" s="313"/>
      <c r="AK125" s="314"/>
      <c r="AP125" s="502"/>
      <c r="AQ125" s="502"/>
      <c r="AV125" s="315"/>
      <c r="AW125" s="315"/>
      <c r="AX125" s="315"/>
      <c r="AY125" s="315"/>
      <c r="AZ125" s="315"/>
      <c r="BA125" s="315"/>
      <c r="BB125" s="315"/>
      <c r="BC125" s="315"/>
      <c r="BD125" s="315"/>
      <c r="BE125" s="315"/>
      <c r="BF125" s="315"/>
      <c r="BG125" s="315"/>
      <c r="BH125" s="315"/>
      <c r="BI125" s="315"/>
      <c r="BJ125" s="315"/>
      <c r="BK125" s="315"/>
      <c r="BL125" s="315"/>
      <c r="BM125" s="315"/>
      <c r="BN125" s="315"/>
      <c r="BO125" s="315"/>
      <c r="BP125" s="315"/>
      <c r="BQ125" s="315"/>
      <c r="BR125" s="316"/>
      <c r="BS125" s="316"/>
      <c r="BT125" s="316"/>
      <c r="BU125" s="315"/>
      <c r="BV125" s="315"/>
      <c r="BW125" s="315"/>
      <c r="BX125" s="315"/>
      <c r="BY125" s="315"/>
      <c r="BZ125" s="315"/>
    </row>
    <row r="126" spans="3:78" s="311" customFormat="1" ht="13.5" customHeight="1" x14ac:dyDescent="0.2">
      <c r="C126" s="322">
        <v>10</v>
      </c>
      <c r="D126" s="319"/>
      <c r="K126" s="502"/>
      <c r="L126" s="502"/>
      <c r="N126" s="309"/>
      <c r="U126" s="320"/>
      <c r="V126" s="502"/>
      <c r="Y126" s="320"/>
      <c r="Z126" s="665"/>
      <c r="AE126" s="309"/>
      <c r="AF126" s="309"/>
      <c r="AG126" s="313"/>
      <c r="AI126" s="313"/>
      <c r="AJ126" s="313"/>
      <c r="AK126" s="314"/>
      <c r="AP126" s="502"/>
      <c r="AQ126" s="502"/>
      <c r="AV126" s="315"/>
      <c r="AW126" s="315"/>
      <c r="AX126" s="315"/>
      <c r="AY126" s="315"/>
      <c r="AZ126" s="315"/>
      <c r="BA126" s="315"/>
      <c r="BB126" s="315"/>
      <c r="BC126" s="315"/>
      <c r="BD126" s="315"/>
      <c r="BE126" s="315"/>
      <c r="BF126" s="315"/>
      <c r="BG126" s="315"/>
      <c r="BH126" s="315"/>
      <c r="BI126" s="315"/>
      <c r="BJ126" s="315"/>
      <c r="BK126" s="315"/>
      <c r="BL126" s="315"/>
      <c r="BM126" s="315"/>
      <c r="BN126" s="315"/>
      <c r="BO126" s="315"/>
      <c r="BP126" s="315"/>
      <c r="BQ126" s="315"/>
      <c r="BR126" s="316"/>
      <c r="BS126" s="316"/>
      <c r="BT126" s="316"/>
      <c r="BU126" s="315"/>
      <c r="BV126" s="315"/>
      <c r="BW126" s="315"/>
      <c r="BX126" s="315"/>
      <c r="BY126" s="315"/>
      <c r="BZ126" s="315"/>
    </row>
    <row r="127" spans="3:78" s="311" customFormat="1" ht="13.5" customHeight="1" x14ac:dyDescent="0.2">
      <c r="C127" s="322">
        <v>11</v>
      </c>
      <c r="D127" s="319"/>
      <c r="K127" s="502"/>
      <c r="L127" s="502"/>
      <c r="N127" s="309"/>
      <c r="U127" s="320"/>
      <c r="V127" s="502"/>
      <c r="Y127" s="320"/>
      <c r="Z127" s="665"/>
      <c r="AE127" s="309"/>
      <c r="AF127" s="309"/>
      <c r="AG127" s="313"/>
      <c r="AI127" s="313"/>
      <c r="AJ127" s="313"/>
      <c r="AK127" s="314"/>
      <c r="AP127" s="502"/>
      <c r="AQ127" s="502"/>
      <c r="AV127" s="315"/>
      <c r="AW127" s="315"/>
      <c r="AX127" s="315"/>
      <c r="AY127" s="315"/>
      <c r="AZ127" s="315"/>
      <c r="BA127" s="315"/>
      <c r="BB127" s="315"/>
      <c r="BC127" s="315"/>
      <c r="BD127" s="315"/>
      <c r="BE127" s="315"/>
      <c r="BF127" s="315"/>
      <c r="BG127" s="315"/>
      <c r="BH127" s="315"/>
      <c r="BI127" s="315"/>
      <c r="BJ127" s="315"/>
      <c r="BK127" s="315"/>
      <c r="BL127" s="315"/>
      <c r="BM127" s="315"/>
      <c r="BN127" s="315"/>
      <c r="BO127" s="315"/>
      <c r="BP127" s="315"/>
      <c r="BQ127" s="315"/>
      <c r="BR127" s="316"/>
      <c r="BS127" s="316"/>
      <c r="BT127" s="316"/>
      <c r="BU127" s="315"/>
      <c r="BV127" s="315"/>
      <c r="BW127" s="315"/>
      <c r="BX127" s="315"/>
      <c r="BY127" s="315"/>
      <c r="BZ127" s="315"/>
    </row>
    <row r="128" spans="3:78" s="311" customFormat="1" ht="13.5" customHeight="1" x14ac:dyDescent="0.2">
      <c r="C128" s="322">
        <v>12</v>
      </c>
      <c r="D128" s="319"/>
      <c r="K128" s="502"/>
      <c r="L128" s="502"/>
      <c r="N128" s="309"/>
      <c r="U128" s="320"/>
      <c r="V128" s="502"/>
      <c r="Y128" s="320"/>
      <c r="Z128" s="665"/>
      <c r="AE128" s="309"/>
      <c r="AF128" s="309"/>
      <c r="AG128" s="313"/>
      <c r="AI128" s="313"/>
      <c r="AJ128" s="313"/>
      <c r="AK128" s="314"/>
      <c r="AP128" s="502"/>
      <c r="AQ128" s="502"/>
      <c r="AV128" s="315"/>
      <c r="AW128" s="315"/>
      <c r="AX128" s="315"/>
      <c r="AY128" s="315"/>
      <c r="AZ128" s="315"/>
      <c r="BA128" s="315"/>
      <c r="BB128" s="315"/>
      <c r="BC128" s="315"/>
      <c r="BD128" s="315"/>
      <c r="BE128" s="315"/>
      <c r="BF128" s="315"/>
      <c r="BG128" s="315"/>
      <c r="BH128" s="315"/>
      <c r="BI128" s="315"/>
      <c r="BJ128" s="315"/>
      <c r="BK128" s="315"/>
      <c r="BL128" s="315"/>
      <c r="BM128" s="315"/>
      <c r="BN128" s="315"/>
      <c r="BO128" s="315"/>
      <c r="BP128" s="315"/>
      <c r="BQ128" s="315"/>
      <c r="BR128" s="316"/>
      <c r="BS128" s="316"/>
      <c r="BT128" s="316"/>
      <c r="BU128" s="315"/>
      <c r="BV128" s="315"/>
      <c r="BW128" s="315"/>
      <c r="BX128" s="315"/>
      <c r="BY128" s="315"/>
      <c r="BZ128" s="315"/>
    </row>
    <row r="129" spans="3:78" s="311" customFormat="1" ht="13.5" customHeight="1" x14ac:dyDescent="0.2">
      <c r="C129" s="322">
        <v>13</v>
      </c>
      <c r="D129" s="319"/>
      <c r="K129" s="502"/>
      <c r="L129" s="502"/>
      <c r="N129" s="309"/>
      <c r="U129" s="320"/>
      <c r="V129" s="502"/>
      <c r="Y129" s="320"/>
      <c r="Z129" s="665"/>
      <c r="AE129" s="309"/>
      <c r="AF129" s="309"/>
      <c r="AG129" s="313"/>
      <c r="AI129" s="313"/>
      <c r="AJ129" s="313"/>
      <c r="AK129" s="314"/>
      <c r="AP129" s="502"/>
      <c r="AQ129" s="502"/>
      <c r="AV129" s="315"/>
      <c r="AW129" s="315"/>
      <c r="AX129" s="315"/>
      <c r="AY129" s="315"/>
      <c r="AZ129" s="315"/>
      <c r="BA129" s="315"/>
      <c r="BB129" s="315"/>
      <c r="BC129" s="315"/>
      <c r="BD129" s="315"/>
      <c r="BE129" s="315"/>
      <c r="BF129" s="315"/>
      <c r="BG129" s="315"/>
      <c r="BH129" s="315"/>
      <c r="BI129" s="315"/>
      <c r="BJ129" s="315"/>
      <c r="BK129" s="315"/>
      <c r="BL129" s="315"/>
      <c r="BM129" s="315"/>
      <c r="BN129" s="315"/>
      <c r="BO129" s="315"/>
      <c r="BP129" s="315"/>
      <c r="BQ129" s="315"/>
      <c r="BR129" s="316"/>
      <c r="BS129" s="316"/>
      <c r="BT129" s="316"/>
      <c r="BU129" s="315"/>
      <c r="BV129" s="315"/>
      <c r="BW129" s="315"/>
      <c r="BX129" s="315"/>
      <c r="BY129" s="315"/>
      <c r="BZ129" s="315"/>
    </row>
    <row r="130" spans="3:78" s="311" customFormat="1" ht="13.5" customHeight="1" x14ac:dyDescent="0.2">
      <c r="C130" s="322">
        <v>14</v>
      </c>
      <c r="D130" s="319"/>
      <c r="K130" s="502"/>
      <c r="L130" s="502"/>
      <c r="N130" s="309"/>
      <c r="U130" s="320"/>
      <c r="V130" s="502"/>
      <c r="Y130" s="320"/>
      <c r="Z130" s="665"/>
      <c r="AE130" s="309"/>
      <c r="AF130" s="309"/>
      <c r="AG130" s="313"/>
      <c r="AI130" s="313"/>
      <c r="AJ130" s="313"/>
      <c r="AK130" s="314"/>
      <c r="AP130" s="502"/>
      <c r="AQ130" s="502"/>
      <c r="AV130" s="315"/>
      <c r="AW130" s="315"/>
      <c r="AX130" s="315"/>
      <c r="AY130" s="315"/>
      <c r="AZ130" s="315"/>
      <c r="BA130" s="315"/>
      <c r="BB130" s="315"/>
      <c r="BC130" s="315"/>
      <c r="BD130" s="315"/>
      <c r="BE130" s="315"/>
      <c r="BF130" s="315"/>
      <c r="BG130" s="315"/>
      <c r="BH130" s="315"/>
      <c r="BI130" s="315"/>
      <c r="BJ130" s="315"/>
      <c r="BK130" s="315"/>
      <c r="BL130" s="315"/>
      <c r="BM130" s="315"/>
      <c r="BN130" s="315"/>
      <c r="BO130" s="315"/>
      <c r="BP130" s="315"/>
      <c r="BQ130" s="315"/>
      <c r="BR130" s="316"/>
      <c r="BS130" s="316"/>
      <c r="BT130" s="316"/>
      <c r="BU130" s="315"/>
      <c r="BV130" s="315"/>
      <c r="BW130" s="315"/>
      <c r="BX130" s="315"/>
      <c r="BY130" s="315"/>
      <c r="BZ130" s="315"/>
    </row>
    <row r="131" spans="3:78" s="311" customFormat="1" ht="13.5" customHeight="1" x14ac:dyDescent="0.2">
      <c r="C131" s="322">
        <v>15</v>
      </c>
      <c r="D131" s="319"/>
      <c r="K131" s="502"/>
      <c r="L131" s="502"/>
      <c r="N131" s="309"/>
      <c r="U131" s="320"/>
      <c r="V131" s="502"/>
      <c r="Y131" s="320"/>
      <c r="Z131" s="665"/>
      <c r="AE131" s="309"/>
      <c r="AF131" s="309"/>
      <c r="AG131" s="313"/>
      <c r="AI131" s="313"/>
      <c r="AJ131" s="313"/>
      <c r="AK131" s="314"/>
      <c r="AP131" s="502"/>
      <c r="AQ131" s="502"/>
      <c r="AV131" s="315"/>
      <c r="AW131" s="315"/>
      <c r="AX131" s="315"/>
      <c r="AY131" s="315"/>
      <c r="AZ131" s="315"/>
      <c r="BA131" s="315"/>
      <c r="BB131" s="315"/>
      <c r="BC131" s="315"/>
      <c r="BD131" s="315"/>
      <c r="BE131" s="315"/>
      <c r="BF131" s="315"/>
      <c r="BG131" s="315"/>
      <c r="BH131" s="315"/>
      <c r="BI131" s="315"/>
      <c r="BJ131" s="315"/>
      <c r="BK131" s="315"/>
      <c r="BL131" s="315"/>
      <c r="BM131" s="315"/>
      <c r="BN131" s="315"/>
      <c r="BO131" s="315"/>
      <c r="BP131" s="315"/>
      <c r="BQ131" s="315"/>
      <c r="BR131" s="316"/>
      <c r="BS131" s="316"/>
      <c r="BT131" s="316"/>
      <c r="BU131" s="315"/>
      <c r="BV131" s="315"/>
      <c r="BW131" s="315"/>
      <c r="BX131" s="315"/>
      <c r="BY131" s="315"/>
      <c r="BZ131" s="315"/>
    </row>
    <row r="132" spans="3:78" s="311" customFormat="1" ht="13.5" customHeight="1" x14ac:dyDescent="0.2">
      <c r="C132" s="322">
        <v>16</v>
      </c>
      <c r="D132" s="319"/>
      <c r="K132" s="502"/>
      <c r="L132" s="502"/>
      <c r="N132" s="309"/>
      <c r="U132" s="320"/>
      <c r="V132" s="502"/>
      <c r="Y132" s="320"/>
      <c r="Z132" s="665"/>
      <c r="AE132" s="309"/>
      <c r="AF132" s="309"/>
      <c r="AG132" s="313"/>
      <c r="AI132" s="313"/>
      <c r="AJ132" s="313"/>
      <c r="AK132" s="314"/>
      <c r="AP132" s="502"/>
      <c r="AQ132" s="502"/>
      <c r="AV132" s="315"/>
      <c r="AW132" s="315"/>
      <c r="AX132" s="315"/>
      <c r="AY132" s="315"/>
      <c r="AZ132" s="315"/>
      <c r="BA132" s="315"/>
      <c r="BB132" s="315"/>
      <c r="BC132" s="315"/>
      <c r="BD132" s="315"/>
      <c r="BE132" s="315"/>
      <c r="BF132" s="315"/>
      <c r="BG132" s="315"/>
      <c r="BH132" s="315"/>
      <c r="BI132" s="315"/>
      <c r="BJ132" s="315"/>
      <c r="BK132" s="315"/>
      <c r="BL132" s="315"/>
      <c r="BM132" s="315"/>
      <c r="BN132" s="315"/>
      <c r="BO132" s="315"/>
      <c r="BP132" s="315"/>
      <c r="BQ132" s="315"/>
      <c r="BR132" s="316"/>
      <c r="BS132" s="316"/>
      <c r="BT132" s="316"/>
      <c r="BU132" s="315"/>
      <c r="BV132" s="315"/>
      <c r="BW132" s="315"/>
      <c r="BX132" s="315"/>
      <c r="BY132" s="315"/>
      <c r="BZ132" s="315"/>
    </row>
    <row r="133" spans="3:78" s="311" customFormat="1" ht="13.5" customHeight="1" x14ac:dyDescent="0.2">
      <c r="C133" s="319"/>
      <c r="D133" s="319"/>
      <c r="K133" s="502"/>
      <c r="L133" s="502"/>
      <c r="N133" s="309"/>
      <c r="U133" s="320"/>
      <c r="V133" s="502"/>
      <c r="Y133" s="320"/>
      <c r="Z133" s="665"/>
      <c r="AE133" s="309"/>
      <c r="AF133" s="309"/>
      <c r="AG133" s="313"/>
      <c r="AI133" s="313"/>
      <c r="AJ133" s="313"/>
      <c r="AK133" s="314"/>
      <c r="AP133" s="502"/>
      <c r="AQ133" s="502"/>
      <c r="AV133" s="315"/>
      <c r="AW133" s="315"/>
      <c r="AX133" s="315"/>
      <c r="AY133" s="315"/>
      <c r="AZ133" s="315"/>
      <c r="BA133" s="315"/>
      <c r="BB133" s="315"/>
      <c r="BC133" s="315"/>
      <c r="BD133" s="315"/>
      <c r="BE133" s="315"/>
      <c r="BF133" s="315"/>
      <c r="BG133" s="315"/>
      <c r="BH133" s="315"/>
      <c r="BI133" s="315"/>
      <c r="BJ133" s="315"/>
      <c r="BK133" s="315"/>
      <c r="BL133" s="315"/>
      <c r="BM133" s="315"/>
      <c r="BN133" s="315"/>
      <c r="BO133" s="315"/>
      <c r="BP133" s="315"/>
      <c r="BQ133" s="315"/>
      <c r="BR133" s="316"/>
      <c r="BS133" s="316"/>
      <c r="BT133" s="316"/>
      <c r="BU133" s="315"/>
      <c r="BV133" s="315"/>
      <c r="BW133" s="315"/>
      <c r="BX133" s="315"/>
      <c r="BY133" s="315"/>
      <c r="BZ133" s="315"/>
    </row>
    <row r="134" spans="3:78" s="311" customFormat="1" ht="13.5" customHeight="1" x14ac:dyDescent="0.2">
      <c r="C134" s="319"/>
      <c r="D134" s="319"/>
      <c r="K134" s="502"/>
      <c r="L134" s="502"/>
      <c r="N134" s="309"/>
      <c r="U134" s="320"/>
      <c r="V134" s="502"/>
      <c r="Y134" s="320"/>
      <c r="Z134" s="665"/>
      <c r="AE134" s="309"/>
      <c r="AF134" s="309"/>
      <c r="AG134" s="313"/>
      <c r="AI134" s="313"/>
      <c r="AJ134" s="313"/>
      <c r="AK134" s="314"/>
      <c r="AP134" s="502"/>
      <c r="AQ134" s="502"/>
      <c r="AV134" s="315"/>
      <c r="AW134" s="315"/>
      <c r="AX134" s="315"/>
      <c r="AY134" s="315"/>
      <c r="AZ134" s="315"/>
      <c r="BA134" s="315"/>
      <c r="BB134" s="315"/>
      <c r="BC134" s="315"/>
      <c r="BD134" s="315"/>
      <c r="BE134" s="315"/>
      <c r="BF134" s="315"/>
      <c r="BG134" s="315"/>
      <c r="BH134" s="315"/>
      <c r="BI134" s="315"/>
      <c r="BJ134" s="315"/>
      <c r="BK134" s="315"/>
      <c r="BL134" s="315"/>
      <c r="BM134" s="315"/>
      <c r="BN134" s="315"/>
      <c r="BO134" s="315"/>
      <c r="BP134" s="315"/>
      <c r="BQ134" s="315"/>
      <c r="BR134" s="316"/>
      <c r="BS134" s="316"/>
      <c r="BT134" s="316"/>
      <c r="BU134" s="315"/>
      <c r="BV134" s="315"/>
      <c r="BW134" s="315"/>
      <c r="BX134" s="315"/>
      <c r="BY134" s="315"/>
      <c r="BZ134" s="315"/>
    </row>
    <row r="135" spans="3:78" s="309" customFormat="1" ht="13.5" customHeight="1" x14ac:dyDescent="0.2">
      <c r="D135" s="312"/>
      <c r="K135" s="500"/>
      <c r="L135" s="500"/>
      <c r="U135" s="655"/>
      <c r="V135" s="500"/>
      <c r="Y135" s="655"/>
      <c r="Z135" s="665"/>
      <c r="AG135" s="313"/>
      <c r="AI135" s="313"/>
      <c r="AJ135" s="313"/>
      <c r="AK135" s="314"/>
      <c r="AP135" s="500"/>
      <c r="AQ135" s="500"/>
      <c r="AV135" s="315"/>
      <c r="AW135" s="315"/>
      <c r="AX135" s="315"/>
      <c r="AY135" s="315"/>
      <c r="AZ135" s="315"/>
      <c r="BA135" s="315"/>
      <c r="BB135" s="315"/>
      <c r="BC135" s="315"/>
      <c r="BD135" s="315"/>
      <c r="BE135" s="315"/>
      <c r="BF135" s="315"/>
      <c r="BG135" s="315"/>
      <c r="BH135" s="315"/>
      <c r="BI135" s="315"/>
      <c r="BJ135" s="315"/>
      <c r="BK135" s="315"/>
      <c r="BL135" s="315"/>
      <c r="BM135" s="315"/>
      <c r="BN135" s="315"/>
      <c r="BO135" s="315"/>
      <c r="BP135" s="315"/>
      <c r="BQ135" s="315"/>
      <c r="BR135" s="316"/>
      <c r="BS135" s="316"/>
      <c r="BT135" s="316"/>
      <c r="BU135" s="315"/>
      <c r="BV135" s="315"/>
      <c r="BW135" s="315"/>
      <c r="BX135" s="315"/>
      <c r="BY135" s="315"/>
      <c r="BZ135" s="315"/>
    </row>
    <row r="136" spans="3:78" s="309" customFormat="1" ht="13.5" customHeight="1" x14ac:dyDescent="0.2">
      <c r="D136" s="312"/>
      <c r="K136" s="500"/>
      <c r="L136" s="500"/>
      <c r="U136" s="655"/>
      <c r="V136" s="500"/>
      <c r="Y136" s="655"/>
      <c r="Z136" s="665"/>
      <c r="AG136" s="313"/>
      <c r="AI136" s="313"/>
      <c r="AJ136" s="313"/>
      <c r="AK136" s="314"/>
      <c r="AP136" s="500"/>
      <c r="AQ136" s="500"/>
      <c r="AV136" s="315"/>
      <c r="AW136" s="315"/>
      <c r="AX136" s="315"/>
      <c r="AY136" s="315"/>
      <c r="AZ136" s="315"/>
      <c r="BA136" s="315"/>
      <c r="BB136" s="315"/>
      <c r="BC136" s="315"/>
      <c r="BD136" s="315"/>
      <c r="BE136" s="315"/>
      <c r="BF136" s="315"/>
      <c r="BG136" s="315"/>
      <c r="BH136" s="315"/>
      <c r="BI136" s="315"/>
      <c r="BJ136" s="315"/>
      <c r="BK136" s="315"/>
      <c r="BL136" s="315"/>
      <c r="BM136" s="315"/>
      <c r="BN136" s="315"/>
      <c r="BO136" s="315"/>
      <c r="BP136" s="315"/>
      <c r="BQ136" s="315"/>
      <c r="BR136" s="316"/>
      <c r="BS136" s="316"/>
      <c r="BT136" s="316"/>
      <c r="BU136" s="315"/>
      <c r="BV136" s="315"/>
      <c r="BW136" s="315"/>
      <c r="BX136" s="315"/>
      <c r="BY136" s="315"/>
      <c r="BZ136" s="315"/>
    </row>
    <row r="137" spans="3:78" s="309" customFormat="1" ht="13.5" customHeight="1" x14ac:dyDescent="0.2">
      <c r="D137" s="312"/>
      <c r="K137" s="500"/>
      <c r="L137" s="500"/>
      <c r="U137" s="655"/>
      <c r="V137" s="500"/>
      <c r="Y137" s="655"/>
      <c r="Z137" s="665"/>
      <c r="AG137" s="313"/>
      <c r="AI137" s="313"/>
      <c r="AJ137" s="313"/>
      <c r="AK137" s="314"/>
      <c r="AP137" s="500"/>
      <c r="AQ137" s="500"/>
      <c r="AV137" s="315"/>
      <c r="AW137" s="315"/>
      <c r="AX137" s="315"/>
      <c r="AY137" s="315"/>
      <c r="AZ137" s="315"/>
      <c r="BA137" s="315"/>
      <c r="BB137" s="315"/>
      <c r="BC137" s="315"/>
      <c r="BD137" s="315"/>
      <c r="BE137" s="315"/>
      <c r="BF137" s="315"/>
      <c r="BG137" s="315"/>
      <c r="BH137" s="315"/>
      <c r="BI137" s="315"/>
      <c r="BJ137" s="315"/>
      <c r="BK137" s="315"/>
      <c r="BL137" s="315"/>
      <c r="BM137" s="315"/>
      <c r="BN137" s="315"/>
      <c r="BO137" s="315"/>
      <c r="BP137" s="315"/>
      <c r="BQ137" s="315"/>
      <c r="BR137" s="316"/>
      <c r="BS137" s="316"/>
      <c r="BT137" s="316"/>
      <c r="BU137" s="315"/>
      <c r="BV137" s="315"/>
      <c r="BW137" s="315"/>
      <c r="BX137" s="315"/>
      <c r="BY137" s="315"/>
      <c r="BZ137" s="315"/>
    </row>
    <row r="138" spans="3:78" s="309" customFormat="1" ht="13.5" customHeight="1" x14ac:dyDescent="0.2">
      <c r="D138" s="312"/>
      <c r="K138" s="500"/>
      <c r="L138" s="500"/>
      <c r="U138" s="655"/>
      <c r="V138" s="500"/>
      <c r="Y138" s="655"/>
      <c r="Z138" s="665"/>
      <c r="AG138" s="313"/>
      <c r="AI138" s="313"/>
      <c r="AJ138" s="313"/>
      <c r="AK138" s="314"/>
      <c r="AP138" s="500"/>
      <c r="AQ138" s="500"/>
      <c r="AV138" s="315"/>
      <c r="AW138" s="315"/>
      <c r="AX138" s="315"/>
      <c r="AY138" s="315"/>
      <c r="AZ138" s="315"/>
      <c r="BA138" s="315"/>
      <c r="BB138" s="315"/>
      <c r="BC138" s="315"/>
      <c r="BD138" s="315"/>
      <c r="BE138" s="315"/>
      <c r="BF138" s="315"/>
      <c r="BG138" s="315"/>
      <c r="BH138" s="315"/>
      <c r="BI138" s="315"/>
      <c r="BJ138" s="315"/>
      <c r="BK138" s="315"/>
      <c r="BL138" s="315"/>
      <c r="BM138" s="315"/>
      <c r="BN138" s="315"/>
      <c r="BO138" s="315"/>
      <c r="BP138" s="315"/>
      <c r="BQ138" s="315"/>
      <c r="BR138" s="316"/>
      <c r="BS138" s="316"/>
      <c r="BT138" s="316"/>
      <c r="BU138" s="315"/>
      <c r="BV138" s="315"/>
      <c r="BW138" s="315"/>
      <c r="BX138" s="315"/>
      <c r="BY138" s="315"/>
      <c r="BZ138" s="315"/>
    </row>
    <row r="139" spans="3:78" s="309" customFormat="1" ht="13.5" customHeight="1" x14ac:dyDescent="0.2">
      <c r="D139" s="312"/>
      <c r="K139" s="500"/>
      <c r="L139" s="500"/>
      <c r="U139" s="655"/>
      <c r="V139" s="500"/>
      <c r="Y139" s="655"/>
      <c r="Z139" s="665"/>
      <c r="AG139" s="313"/>
      <c r="AI139" s="313"/>
      <c r="AJ139" s="313"/>
      <c r="AK139" s="314"/>
      <c r="AP139" s="500"/>
      <c r="AQ139" s="500"/>
      <c r="AV139" s="315"/>
      <c r="AW139" s="315"/>
      <c r="AX139" s="315"/>
      <c r="AY139" s="315"/>
      <c r="AZ139" s="315"/>
      <c r="BA139" s="315"/>
      <c r="BB139" s="315"/>
      <c r="BC139" s="315"/>
      <c r="BD139" s="315"/>
      <c r="BE139" s="315"/>
      <c r="BF139" s="315"/>
      <c r="BG139" s="315"/>
      <c r="BH139" s="315"/>
      <c r="BI139" s="315"/>
      <c r="BJ139" s="315"/>
      <c r="BK139" s="315"/>
      <c r="BL139" s="315"/>
      <c r="BM139" s="315"/>
      <c r="BN139" s="315"/>
      <c r="BO139" s="315"/>
      <c r="BP139" s="315"/>
      <c r="BQ139" s="315"/>
      <c r="BR139" s="316"/>
      <c r="BS139" s="316"/>
      <c r="BT139" s="316"/>
      <c r="BU139" s="315"/>
      <c r="BV139" s="315"/>
      <c r="BW139" s="315"/>
      <c r="BX139" s="315"/>
      <c r="BY139" s="315"/>
      <c r="BZ139" s="315"/>
    </row>
    <row r="140" spans="3:78" s="309" customFormat="1" ht="13.5" customHeight="1" x14ac:dyDescent="0.2">
      <c r="D140" s="312"/>
      <c r="K140" s="500"/>
      <c r="L140" s="500"/>
      <c r="U140" s="655"/>
      <c r="V140" s="500"/>
      <c r="Y140" s="655"/>
      <c r="Z140" s="665"/>
      <c r="AG140" s="313"/>
      <c r="AI140" s="313"/>
      <c r="AJ140" s="313"/>
      <c r="AK140" s="314"/>
      <c r="AP140" s="500"/>
      <c r="AQ140" s="500"/>
      <c r="AV140" s="315"/>
      <c r="AW140" s="315"/>
      <c r="AX140" s="315"/>
      <c r="AY140" s="315"/>
      <c r="AZ140" s="315"/>
      <c r="BA140" s="315"/>
      <c r="BB140" s="315"/>
      <c r="BC140" s="315"/>
      <c r="BD140" s="315"/>
      <c r="BE140" s="315"/>
      <c r="BF140" s="315"/>
      <c r="BG140" s="315"/>
      <c r="BH140" s="315"/>
      <c r="BI140" s="315"/>
      <c r="BJ140" s="315"/>
      <c r="BK140" s="315"/>
      <c r="BL140" s="315"/>
      <c r="BM140" s="315"/>
      <c r="BN140" s="315"/>
      <c r="BO140" s="315"/>
      <c r="BP140" s="315"/>
      <c r="BQ140" s="315"/>
      <c r="BR140" s="316"/>
      <c r="BS140" s="316"/>
      <c r="BT140" s="316"/>
      <c r="BU140" s="315"/>
      <c r="BV140" s="315"/>
      <c r="BW140" s="315"/>
      <c r="BX140" s="315"/>
      <c r="BY140" s="315"/>
      <c r="BZ140" s="315"/>
    </row>
    <row r="141" spans="3:78" s="309" customFormat="1" ht="13.5" customHeight="1" x14ac:dyDescent="0.2">
      <c r="D141" s="312"/>
      <c r="K141" s="500"/>
      <c r="L141" s="500"/>
      <c r="U141" s="655"/>
      <c r="V141" s="500"/>
      <c r="Y141" s="655"/>
      <c r="Z141" s="665"/>
      <c r="AG141" s="313"/>
      <c r="AI141" s="313"/>
      <c r="AJ141" s="313"/>
      <c r="AK141" s="314"/>
      <c r="AP141" s="500"/>
      <c r="AQ141" s="500"/>
      <c r="AV141" s="315"/>
      <c r="AW141" s="315"/>
      <c r="AX141" s="315"/>
      <c r="AY141" s="315"/>
      <c r="AZ141" s="315"/>
      <c r="BA141" s="315"/>
      <c r="BB141" s="315"/>
      <c r="BC141" s="315"/>
      <c r="BD141" s="315"/>
      <c r="BE141" s="315"/>
      <c r="BF141" s="315"/>
      <c r="BG141" s="315"/>
      <c r="BH141" s="315"/>
      <c r="BI141" s="315"/>
      <c r="BJ141" s="315"/>
      <c r="BK141" s="315"/>
      <c r="BL141" s="315"/>
      <c r="BM141" s="315"/>
      <c r="BN141" s="315"/>
      <c r="BO141" s="315"/>
      <c r="BP141" s="315"/>
      <c r="BQ141" s="315"/>
      <c r="BR141" s="316"/>
      <c r="BS141" s="316"/>
      <c r="BT141" s="316"/>
      <c r="BU141" s="315"/>
      <c r="BV141" s="315"/>
      <c r="BW141" s="315"/>
      <c r="BX141" s="315"/>
      <c r="BY141" s="315"/>
      <c r="BZ141" s="315"/>
    </row>
    <row r="142" spans="3:78" s="309" customFormat="1" ht="13.5" customHeight="1" x14ac:dyDescent="0.2">
      <c r="D142" s="312"/>
      <c r="K142" s="500"/>
      <c r="L142" s="500"/>
      <c r="U142" s="655"/>
      <c r="V142" s="500"/>
      <c r="Y142" s="655"/>
      <c r="Z142" s="665"/>
      <c r="AG142" s="313"/>
      <c r="AI142" s="313"/>
      <c r="AJ142" s="313"/>
      <c r="AK142" s="314"/>
      <c r="AP142" s="500"/>
      <c r="AQ142" s="500"/>
      <c r="AV142" s="315"/>
      <c r="AW142" s="315"/>
      <c r="AX142" s="315"/>
      <c r="AY142" s="315"/>
      <c r="AZ142" s="315"/>
      <c r="BA142" s="315"/>
      <c r="BB142" s="315"/>
      <c r="BC142" s="315"/>
      <c r="BD142" s="315"/>
      <c r="BE142" s="315"/>
      <c r="BF142" s="315"/>
      <c r="BG142" s="315"/>
      <c r="BH142" s="315"/>
      <c r="BI142" s="315"/>
      <c r="BJ142" s="315"/>
      <c r="BK142" s="315"/>
      <c r="BL142" s="315"/>
      <c r="BM142" s="315"/>
      <c r="BN142" s="315"/>
      <c r="BO142" s="315"/>
      <c r="BP142" s="315"/>
      <c r="BQ142" s="315"/>
      <c r="BR142" s="316"/>
      <c r="BS142" s="316"/>
      <c r="BT142" s="316"/>
      <c r="BU142" s="315"/>
      <c r="BV142" s="315"/>
      <c r="BW142" s="315"/>
      <c r="BX142" s="315"/>
      <c r="BY142" s="315"/>
      <c r="BZ142" s="315"/>
    </row>
    <row r="143" spans="3:78" s="309" customFormat="1" ht="13.5" customHeight="1" x14ac:dyDescent="0.2">
      <c r="D143" s="312"/>
      <c r="K143" s="500"/>
      <c r="L143" s="500"/>
      <c r="U143" s="655"/>
      <c r="V143" s="500"/>
      <c r="Y143" s="655"/>
      <c r="Z143" s="665"/>
      <c r="AG143" s="313"/>
      <c r="AI143" s="313"/>
      <c r="AJ143" s="313"/>
      <c r="AK143" s="314"/>
      <c r="AP143" s="500"/>
      <c r="AQ143" s="500"/>
      <c r="AV143" s="315"/>
      <c r="AW143" s="315"/>
      <c r="AX143" s="315"/>
      <c r="AY143" s="315"/>
      <c r="AZ143" s="315"/>
      <c r="BA143" s="315"/>
      <c r="BB143" s="315"/>
      <c r="BC143" s="315"/>
      <c r="BD143" s="315"/>
      <c r="BE143" s="315"/>
      <c r="BF143" s="315"/>
      <c r="BG143" s="315"/>
      <c r="BH143" s="315"/>
      <c r="BI143" s="315"/>
      <c r="BJ143" s="315"/>
      <c r="BK143" s="315"/>
      <c r="BL143" s="315"/>
      <c r="BM143" s="315"/>
      <c r="BN143" s="315"/>
      <c r="BO143" s="315"/>
      <c r="BP143" s="315"/>
      <c r="BQ143" s="315"/>
      <c r="BR143" s="316"/>
      <c r="BS143" s="316"/>
      <c r="BT143" s="316"/>
      <c r="BU143" s="315"/>
      <c r="BV143" s="315"/>
      <c r="BW143" s="315"/>
      <c r="BX143" s="315"/>
      <c r="BY143" s="315"/>
      <c r="BZ143" s="315"/>
    </row>
    <row r="144" spans="3:78" s="309" customFormat="1" ht="13.5" customHeight="1" x14ac:dyDescent="0.2">
      <c r="D144" s="312"/>
      <c r="K144" s="500"/>
      <c r="L144" s="500"/>
      <c r="U144" s="655"/>
      <c r="V144" s="500"/>
      <c r="Y144" s="655"/>
      <c r="Z144" s="665"/>
      <c r="AG144" s="313"/>
      <c r="AI144" s="313"/>
      <c r="AJ144" s="313"/>
      <c r="AK144" s="314"/>
      <c r="AP144" s="500"/>
      <c r="AQ144" s="500"/>
      <c r="AV144" s="315"/>
      <c r="AW144" s="315"/>
      <c r="AX144" s="315"/>
      <c r="AY144" s="315"/>
      <c r="AZ144" s="315"/>
      <c r="BA144" s="315"/>
      <c r="BB144" s="315"/>
      <c r="BC144" s="315"/>
      <c r="BD144" s="315"/>
      <c r="BE144" s="315"/>
      <c r="BF144" s="315"/>
      <c r="BG144" s="315"/>
      <c r="BH144" s="315"/>
      <c r="BI144" s="315"/>
      <c r="BJ144" s="315"/>
      <c r="BK144" s="315"/>
      <c r="BL144" s="315"/>
      <c r="BM144" s="315"/>
      <c r="BN144" s="315"/>
      <c r="BO144" s="315"/>
      <c r="BP144" s="315"/>
      <c r="BQ144" s="315"/>
      <c r="BR144" s="316"/>
      <c r="BS144" s="316"/>
      <c r="BT144" s="316"/>
      <c r="BU144" s="315"/>
      <c r="BV144" s="315"/>
      <c r="BW144" s="315"/>
      <c r="BX144" s="315"/>
      <c r="BY144" s="315"/>
      <c r="BZ144" s="315"/>
    </row>
    <row r="145" spans="4:78" s="309" customFormat="1" ht="13.5" customHeight="1" x14ac:dyDescent="0.2">
      <c r="D145" s="312"/>
      <c r="K145" s="500"/>
      <c r="L145" s="500"/>
      <c r="U145" s="655"/>
      <c r="V145" s="500"/>
      <c r="Y145" s="655"/>
      <c r="Z145" s="665"/>
      <c r="AG145" s="313"/>
      <c r="AI145" s="313"/>
      <c r="AJ145" s="313"/>
      <c r="AK145" s="314"/>
      <c r="AP145" s="500"/>
      <c r="AQ145" s="500"/>
      <c r="AV145" s="315"/>
      <c r="AW145" s="315"/>
      <c r="AX145" s="315"/>
      <c r="AY145" s="315"/>
      <c r="AZ145" s="315"/>
      <c r="BA145" s="315"/>
      <c r="BB145" s="315"/>
      <c r="BC145" s="315"/>
      <c r="BD145" s="315"/>
      <c r="BE145" s="315"/>
      <c r="BF145" s="315"/>
      <c r="BG145" s="315"/>
      <c r="BH145" s="315"/>
      <c r="BI145" s="315"/>
      <c r="BJ145" s="315"/>
      <c r="BK145" s="315"/>
      <c r="BL145" s="315"/>
      <c r="BM145" s="315"/>
      <c r="BN145" s="315"/>
      <c r="BO145" s="315"/>
      <c r="BP145" s="315"/>
      <c r="BQ145" s="315"/>
      <c r="BR145" s="316"/>
      <c r="BS145" s="316"/>
      <c r="BT145" s="316"/>
      <c r="BU145" s="315"/>
      <c r="BV145" s="315"/>
      <c r="BW145" s="315"/>
      <c r="BX145" s="315"/>
      <c r="BY145" s="315"/>
      <c r="BZ145" s="315"/>
    </row>
    <row r="146" spans="4:78" s="309" customFormat="1" ht="13.5" customHeight="1" x14ac:dyDescent="0.2">
      <c r="D146" s="312"/>
      <c r="K146" s="500"/>
      <c r="L146" s="500"/>
      <c r="U146" s="655"/>
      <c r="V146" s="500"/>
      <c r="Y146" s="655"/>
      <c r="Z146" s="665"/>
      <c r="AG146" s="313"/>
      <c r="AI146" s="313"/>
      <c r="AJ146" s="313"/>
      <c r="AK146" s="314"/>
      <c r="AP146" s="500"/>
      <c r="AQ146" s="500"/>
      <c r="AV146" s="315"/>
      <c r="AW146" s="315"/>
      <c r="AX146" s="315"/>
      <c r="AY146" s="315"/>
      <c r="AZ146" s="315"/>
      <c r="BA146" s="315"/>
      <c r="BB146" s="315"/>
      <c r="BC146" s="315"/>
      <c r="BD146" s="315"/>
      <c r="BE146" s="315"/>
      <c r="BF146" s="315"/>
      <c r="BG146" s="315"/>
      <c r="BH146" s="315"/>
      <c r="BI146" s="315"/>
      <c r="BJ146" s="315"/>
      <c r="BK146" s="315"/>
      <c r="BL146" s="315"/>
      <c r="BM146" s="315"/>
      <c r="BN146" s="315"/>
      <c r="BO146" s="315"/>
      <c r="BP146" s="315"/>
      <c r="BQ146" s="315"/>
      <c r="BR146" s="316"/>
      <c r="BS146" s="316"/>
      <c r="BT146" s="316"/>
      <c r="BU146" s="315"/>
      <c r="BV146" s="315"/>
      <c r="BW146" s="315"/>
      <c r="BX146" s="315"/>
      <c r="BY146" s="315"/>
      <c r="BZ146" s="315"/>
    </row>
    <row r="147" spans="4:78" s="309" customFormat="1" ht="13.5" customHeight="1" x14ac:dyDescent="0.2">
      <c r="D147" s="312" t="b">
        <f>'wgl tot'!BR12=DATE(E140+61,E141+6,E142)</f>
        <v>0</v>
      </c>
      <c r="K147" s="500"/>
      <c r="L147" s="500"/>
      <c r="U147" s="655"/>
      <c r="V147" s="500"/>
      <c r="Y147" s="655"/>
      <c r="Z147" s="665"/>
      <c r="AG147" s="313"/>
      <c r="AI147" s="313"/>
      <c r="AJ147" s="313"/>
      <c r="AK147" s="314"/>
      <c r="AP147" s="500"/>
      <c r="AQ147" s="500"/>
      <c r="AV147" s="315"/>
      <c r="AW147" s="315"/>
      <c r="AX147" s="315"/>
      <c r="AY147" s="315"/>
      <c r="AZ147" s="315"/>
      <c r="BA147" s="315"/>
      <c r="BB147" s="315"/>
      <c r="BC147" s="315"/>
      <c r="BD147" s="315"/>
      <c r="BE147" s="315"/>
      <c r="BF147" s="315"/>
      <c r="BG147" s="315"/>
      <c r="BH147" s="315"/>
      <c r="BI147" s="315"/>
      <c r="BJ147" s="315"/>
      <c r="BK147" s="315"/>
      <c r="BL147" s="315"/>
      <c r="BM147" s="315"/>
      <c r="BN147" s="315"/>
      <c r="BO147" s="315"/>
      <c r="BP147" s="315"/>
      <c r="BQ147" s="315"/>
      <c r="BR147" s="316"/>
      <c r="BS147" s="316"/>
      <c r="BT147" s="316"/>
      <c r="BU147" s="315"/>
      <c r="BV147" s="315"/>
      <c r="BW147" s="315"/>
      <c r="BX147" s="315"/>
      <c r="BY147" s="315"/>
      <c r="BZ147" s="315"/>
    </row>
    <row r="148" spans="4:78" s="309" customFormat="1" ht="13.5" customHeight="1" x14ac:dyDescent="0.2">
      <c r="D148" s="312"/>
      <c r="K148" s="500"/>
      <c r="L148" s="500"/>
      <c r="U148" s="655"/>
      <c r="V148" s="500"/>
      <c r="Y148" s="655"/>
      <c r="Z148" s="665"/>
      <c r="AG148" s="313"/>
      <c r="AI148" s="313"/>
      <c r="AJ148" s="313"/>
      <c r="AK148" s="314"/>
      <c r="AP148" s="500"/>
      <c r="AQ148" s="500"/>
      <c r="AV148" s="315"/>
      <c r="AW148" s="315"/>
      <c r="AX148" s="315"/>
      <c r="AY148" s="315"/>
      <c r="AZ148" s="315"/>
      <c r="BA148" s="315"/>
      <c r="BB148" s="315"/>
      <c r="BC148" s="315"/>
      <c r="BD148" s="315"/>
      <c r="BE148" s="315"/>
      <c r="BF148" s="315"/>
      <c r="BG148" s="315"/>
      <c r="BH148" s="315"/>
      <c r="BI148" s="315"/>
      <c r="BJ148" s="315"/>
      <c r="BK148" s="315"/>
      <c r="BL148" s="315"/>
      <c r="BM148" s="315"/>
      <c r="BN148" s="315"/>
      <c r="BO148" s="315"/>
      <c r="BP148" s="315"/>
      <c r="BQ148" s="315"/>
      <c r="BR148" s="316"/>
      <c r="BS148" s="316"/>
      <c r="BT148" s="316"/>
      <c r="BU148" s="315"/>
      <c r="BV148" s="315"/>
      <c r="BW148" s="315"/>
      <c r="BX148" s="315"/>
      <c r="BY148" s="315"/>
      <c r="BZ148" s="315"/>
    </row>
    <row r="149" spans="4:78" s="309" customFormat="1" ht="13.5" customHeight="1" x14ac:dyDescent="0.2">
      <c r="D149" s="312"/>
      <c r="K149" s="500"/>
      <c r="L149" s="500"/>
      <c r="U149" s="655"/>
      <c r="V149" s="500"/>
      <c r="Y149" s="655"/>
      <c r="Z149" s="665"/>
      <c r="AG149" s="313"/>
      <c r="AI149" s="313"/>
      <c r="AJ149" s="313"/>
      <c r="AK149" s="314"/>
      <c r="AP149" s="500"/>
      <c r="AQ149" s="500"/>
      <c r="AV149" s="315"/>
      <c r="AW149" s="315"/>
      <c r="AX149" s="315"/>
      <c r="AY149" s="315"/>
      <c r="AZ149" s="315"/>
      <c r="BA149" s="315"/>
      <c r="BB149" s="315"/>
      <c r="BC149" s="315"/>
      <c r="BD149" s="315"/>
      <c r="BE149" s="315"/>
      <c r="BF149" s="315"/>
      <c r="BG149" s="315"/>
      <c r="BH149" s="315"/>
      <c r="BI149" s="315"/>
      <c r="BJ149" s="315"/>
      <c r="BK149" s="315"/>
      <c r="BL149" s="315"/>
      <c r="BM149" s="315"/>
      <c r="BN149" s="315"/>
      <c r="BO149" s="315"/>
      <c r="BP149" s="315"/>
      <c r="BQ149" s="315"/>
      <c r="BR149" s="316"/>
      <c r="BS149" s="316"/>
      <c r="BT149" s="316"/>
      <c r="BU149" s="315"/>
      <c r="BV149" s="315"/>
      <c r="BW149" s="315"/>
      <c r="BX149" s="315"/>
      <c r="BY149" s="315"/>
      <c r="BZ149" s="315"/>
    </row>
  </sheetData>
  <sheetProtection algorithmName="SHA-512" hashValue="EpSeQ/IUnNxvXwpC0k+JNEQv/6qvS7ZZWctvxjhrzQxhiGidK0+RtKBe7TWM1BwFpA5off4Ht7JcBRA5mnAUMw==" saltValue="EcSyhGVwiz5m08fVsAVzOw==" spinCount="100000" sheet="1" objects="1" scenarios="1"/>
  <mergeCells count="2">
    <mergeCell ref="AM8:AN8"/>
    <mergeCell ref="F8:G8"/>
  </mergeCells>
  <phoneticPr fontId="0" type="noConversion"/>
  <dataValidations count="4">
    <dataValidation type="list" allowBlank="1" showInputMessage="1" showErrorMessage="1" sqref="AZ12:AZ86">
      <formula1>"L10,L11,L12,L13"</formula1>
    </dataValidation>
    <dataValidation type="list" allowBlank="1" showInputMessage="1" showErrorMessage="1" sqref="I12:I86">
      <formula1>"j,n"</formula1>
    </dataValidation>
    <dataValidation type="list" allowBlank="1" showInputMessage="1" showErrorMessage="1" sqref="J12:J86">
      <formula1>"1,2,3,4"</formula1>
    </dataValidation>
    <dataValidation type="list" allowBlank="1" showInputMessage="1" showErrorMessage="1" sqref="F12:F86">
      <formula1>$C$90:$C$132</formula1>
    </dataValidation>
  </dataValidations>
  <pageMargins left="0.70866141732283472" right="0.70866141732283472" top="0.74803149606299213" bottom="0.74803149606299213" header="0.31496062992125984" footer="0.31496062992125984"/>
  <pageSetup paperSize="9" scale="42" orientation="landscape" r:id="rId1"/>
  <headerFooter>
    <oddFooter>&amp;L&amp;"Arial,Vet"gemaakt door keizer en goedhart, PO-Raad</oddFooter>
  </headerFooter>
  <colBreaks count="1" manualBreakCount="1">
    <brk id="45" min="1" max="65"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251"/>
  <sheetViews>
    <sheetView zoomScale="70" zoomScaleNormal="70" workbookViewId="0"/>
  </sheetViews>
  <sheetFormatPr defaultColWidth="9.140625" defaultRowHeight="12.75" x14ac:dyDescent="0.2"/>
  <cols>
    <col min="1" max="1" width="30.85546875" style="326" customWidth="1"/>
    <col min="2" max="22" width="10.7109375" style="326" customWidth="1"/>
    <col min="23" max="23" width="9.140625" style="326"/>
    <col min="24" max="38" width="9.140625" style="433"/>
    <col min="39" max="16384" width="9.140625" style="326"/>
  </cols>
  <sheetData>
    <row r="1" spans="1:38" x14ac:dyDescent="0.2">
      <c r="A1" s="326" t="s">
        <v>189</v>
      </c>
      <c r="B1" s="327">
        <v>2019</v>
      </c>
      <c r="C1" s="328" t="s">
        <v>334</v>
      </c>
      <c r="E1" s="326" t="s">
        <v>364</v>
      </c>
      <c r="F1" s="507">
        <f ca="1">NOW()</f>
        <v>43364.939215393519</v>
      </c>
    </row>
    <row r="2" spans="1:38" x14ac:dyDescent="0.2">
      <c r="A2" s="326" t="s">
        <v>190</v>
      </c>
      <c r="B2" s="329" t="s">
        <v>313</v>
      </c>
    </row>
    <row r="4" spans="1:38" x14ac:dyDescent="0.2">
      <c r="A4" s="330" t="s">
        <v>40</v>
      </c>
      <c r="B4" s="334" t="str">
        <f>C1 &amp; (B1-1)</f>
        <v xml:space="preserve"> vanaf 1 januari2018</v>
      </c>
      <c r="C4" s="331"/>
      <c r="D4" s="331"/>
      <c r="E4" s="331"/>
      <c r="F4" s="331"/>
      <c r="G4" s="331"/>
      <c r="H4" s="331"/>
      <c r="I4" s="331"/>
      <c r="J4" s="331"/>
      <c r="K4" s="331"/>
      <c r="L4" s="331"/>
      <c r="M4" s="331"/>
      <c r="N4" s="331"/>
      <c r="O4" s="331"/>
      <c r="P4" s="331"/>
      <c r="Q4" s="331"/>
      <c r="R4" s="331"/>
      <c r="S4" s="331"/>
      <c r="T4" s="331"/>
      <c r="U4" s="331"/>
      <c r="V4" s="331"/>
    </row>
    <row r="5" spans="1:38" x14ac:dyDescent="0.2">
      <c r="A5" s="330"/>
      <c r="B5" s="330"/>
      <c r="C5" s="331" t="s">
        <v>38</v>
      </c>
      <c r="D5" s="331" t="s">
        <v>39</v>
      </c>
      <c r="E5" s="331" t="s">
        <v>73</v>
      </c>
      <c r="F5" s="331" t="s">
        <v>74</v>
      </c>
      <c r="G5" s="331" t="s">
        <v>41</v>
      </c>
      <c r="H5" s="331" t="s">
        <v>42</v>
      </c>
      <c r="I5" s="331"/>
      <c r="J5" s="331" t="s">
        <v>304</v>
      </c>
      <c r="K5" s="331"/>
      <c r="L5" s="331"/>
      <c r="M5" s="331"/>
      <c r="N5" s="331"/>
      <c r="O5" s="331"/>
      <c r="P5" s="331"/>
      <c r="Q5" s="331"/>
      <c r="R5" s="331"/>
      <c r="S5" s="331"/>
      <c r="T5" s="331"/>
      <c r="U5" s="331"/>
      <c r="V5" s="331"/>
    </row>
    <row r="6" spans="1:38" x14ac:dyDescent="0.2">
      <c r="A6" s="335" t="s">
        <v>37</v>
      </c>
      <c r="B6" s="335">
        <v>1</v>
      </c>
      <c r="C6" s="336">
        <v>0.1603</v>
      </c>
      <c r="D6" s="337">
        <v>6.8699999999999997E-2</v>
      </c>
      <c r="E6" s="333">
        <v>13350</v>
      </c>
      <c r="F6" s="338">
        <f>+E6/12</f>
        <v>1112.5</v>
      </c>
      <c r="G6" s="331"/>
      <c r="H6" s="331"/>
      <c r="I6" s="331"/>
      <c r="J6" s="339" t="s">
        <v>300</v>
      </c>
      <c r="K6" s="331"/>
      <c r="L6" s="331"/>
      <c r="M6" s="331"/>
      <c r="N6" s="331"/>
      <c r="O6" s="331"/>
      <c r="P6" s="331"/>
      <c r="R6" s="331"/>
      <c r="T6" s="331"/>
      <c r="U6" s="331"/>
      <c r="V6" s="331"/>
    </row>
    <row r="7" spans="1:38" x14ac:dyDescent="0.2">
      <c r="A7" s="335" t="s">
        <v>162</v>
      </c>
      <c r="B7" s="335">
        <v>2</v>
      </c>
      <c r="C7" s="337">
        <v>3.5000000000000001E-3</v>
      </c>
      <c r="D7" s="337">
        <v>1.5E-3</v>
      </c>
      <c r="E7" s="333">
        <v>20450</v>
      </c>
      <c r="F7" s="338">
        <f>+E7/12</f>
        <v>1704.1666666666667</v>
      </c>
      <c r="G7" s="331"/>
      <c r="H7" s="331"/>
      <c r="I7" s="331"/>
      <c r="J7" s="331" t="s">
        <v>301</v>
      </c>
      <c r="K7" s="331"/>
      <c r="L7" s="331"/>
      <c r="M7" s="331"/>
      <c r="N7" s="331"/>
      <c r="O7" s="331"/>
      <c r="P7" s="331"/>
      <c r="R7" s="331"/>
      <c r="S7" s="331"/>
      <c r="T7" s="331"/>
      <c r="U7" s="331"/>
      <c r="V7" s="331"/>
    </row>
    <row r="8" spans="1:38" s="331" customFormat="1" x14ac:dyDescent="0.2">
      <c r="A8" s="335" t="s">
        <v>210</v>
      </c>
      <c r="B8" s="335">
        <v>3</v>
      </c>
      <c r="C8" s="336">
        <v>2.5999999999999999E-2</v>
      </c>
      <c r="D8" s="336">
        <v>0</v>
      </c>
      <c r="E8" s="340"/>
      <c r="F8" s="340"/>
      <c r="J8" s="331" t="s">
        <v>301</v>
      </c>
      <c r="X8" s="434"/>
      <c r="Y8" s="434"/>
      <c r="Z8" s="434"/>
      <c r="AA8" s="434"/>
      <c r="AB8" s="434"/>
      <c r="AC8" s="434"/>
      <c r="AD8" s="434"/>
      <c r="AE8" s="434"/>
      <c r="AF8" s="434"/>
      <c r="AG8" s="434"/>
      <c r="AH8" s="434"/>
      <c r="AI8" s="434"/>
      <c r="AJ8" s="434"/>
      <c r="AK8" s="434"/>
      <c r="AL8" s="434"/>
    </row>
    <row r="9" spans="1:38" s="331" customFormat="1" x14ac:dyDescent="0.2">
      <c r="A9" s="341" t="s">
        <v>261</v>
      </c>
      <c r="B9" s="341">
        <v>4</v>
      </c>
      <c r="C9" s="342">
        <v>6.7699999999999996E-2</v>
      </c>
      <c r="D9" s="343"/>
      <c r="E9" s="343"/>
      <c r="F9" s="343"/>
      <c r="G9" s="344">
        <v>54641</v>
      </c>
      <c r="H9" s="344">
        <v>4551.16</v>
      </c>
      <c r="J9" s="339" t="s">
        <v>305</v>
      </c>
      <c r="R9" s="345"/>
      <c r="S9" s="339"/>
      <c r="X9" s="434"/>
      <c r="Y9" s="434"/>
      <c r="Z9" s="434"/>
      <c r="AA9" s="434"/>
      <c r="AB9" s="434"/>
      <c r="AC9" s="434"/>
      <c r="AD9" s="434"/>
      <c r="AE9" s="434"/>
      <c r="AF9" s="434"/>
      <c r="AG9" s="434"/>
      <c r="AH9" s="434"/>
      <c r="AI9" s="434"/>
      <c r="AJ9" s="434"/>
      <c r="AK9" s="434"/>
      <c r="AL9" s="434"/>
    </row>
    <row r="10" spans="1:38" s="331" customFormat="1" x14ac:dyDescent="0.2">
      <c r="A10" s="341" t="s">
        <v>267</v>
      </c>
      <c r="B10" s="341">
        <v>5</v>
      </c>
      <c r="C10" s="342">
        <v>1.0200000000000001E-2</v>
      </c>
      <c r="D10" s="343"/>
      <c r="E10" s="343"/>
      <c r="F10" s="346"/>
      <c r="G10" s="338">
        <f>+G9</f>
        <v>54641</v>
      </c>
      <c r="H10" s="338">
        <f>H9</f>
        <v>4551.16</v>
      </c>
      <c r="J10" s="339" t="s">
        <v>298</v>
      </c>
      <c r="R10" s="345"/>
      <c r="S10" s="339"/>
      <c r="X10" s="434"/>
      <c r="Y10" s="434"/>
      <c r="Z10" s="434"/>
      <c r="AA10" s="434"/>
      <c r="AB10" s="434"/>
      <c r="AC10" s="434"/>
      <c r="AD10" s="434"/>
      <c r="AE10" s="434"/>
      <c r="AF10" s="434"/>
      <c r="AG10" s="434"/>
      <c r="AH10" s="434"/>
      <c r="AI10" s="434"/>
      <c r="AJ10" s="434"/>
      <c r="AK10" s="434"/>
      <c r="AL10" s="434"/>
    </row>
    <row r="11" spans="1:38" s="331" customFormat="1" x14ac:dyDescent="0.2">
      <c r="A11" s="341" t="s">
        <v>71</v>
      </c>
      <c r="B11" s="341">
        <v>6</v>
      </c>
      <c r="C11" s="336">
        <v>6.9000000000000006E-2</v>
      </c>
      <c r="D11" s="326"/>
      <c r="E11" s="340"/>
      <c r="F11" s="340"/>
      <c r="G11" s="338">
        <f>+G9</f>
        <v>54641</v>
      </c>
      <c r="H11" s="338">
        <f>H10</f>
        <v>4551.16</v>
      </c>
      <c r="J11" s="339" t="s">
        <v>299</v>
      </c>
      <c r="R11" s="345"/>
      <c r="S11" s="339"/>
      <c r="X11" s="434"/>
      <c r="Y11" s="434"/>
      <c r="Z11" s="434"/>
      <c r="AA11" s="434"/>
      <c r="AB11" s="434"/>
      <c r="AC11" s="434"/>
      <c r="AD11" s="434"/>
      <c r="AE11" s="434"/>
      <c r="AF11" s="434"/>
      <c r="AG11" s="434"/>
      <c r="AH11" s="434"/>
      <c r="AI11" s="434"/>
      <c r="AJ11" s="434"/>
      <c r="AK11" s="434"/>
      <c r="AL11" s="434"/>
    </row>
    <row r="12" spans="1:38" s="331" customFormat="1" x14ac:dyDescent="0.2">
      <c r="A12" s="341" t="s">
        <v>262</v>
      </c>
      <c r="B12" s="341">
        <v>7</v>
      </c>
      <c r="C12" s="336">
        <v>7.7999999999999996E-3</v>
      </c>
      <c r="D12" s="343"/>
      <c r="E12" s="343"/>
      <c r="F12" s="346"/>
      <c r="G12" s="338">
        <f>+G9</f>
        <v>54641</v>
      </c>
      <c r="H12" s="338">
        <f>H11</f>
        <v>4551.16</v>
      </c>
      <c r="J12" s="339" t="s">
        <v>305</v>
      </c>
      <c r="S12" s="339"/>
      <c r="X12" s="434"/>
      <c r="Y12" s="434"/>
      <c r="Z12" s="434"/>
      <c r="AA12" s="434"/>
      <c r="AB12" s="434"/>
      <c r="AC12" s="434"/>
      <c r="AD12" s="434"/>
      <c r="AE12" s="434"/>
      <c r="AF12" s="434"/>
      <c r="AG12" s="434"/>
      <c r="AH12" s="434"/>
      <c r="AI12" s="434"/>
      <c r="AJ12" s="434"/>
      <c r="AK12" s="434"/>
      <c r="AL12" s="434"/>
    </row>
    <row r="13" spans="1:38" s="331" customFormat="1" x14ac:dyDescent="0.2">
      <c r="A13" s="347" t="s">
        <v>163</v>
      </c>
      <c r="B13" s="347">
        <v>8</v>
      </c>
      <c r="C13" s="336">
        <v>5.8500000000000003E-2</v>
      </c>
      <c r="D13" s="348" t="s">
        <v>206</v>
      </c>
      <c r="E13" s="343"/>
      <c r="F13" s="343"/>
      <c r="G13" s="340"/>
      <c r="H13" s="340"/>
      <c r="J13" s="339" t="s">
        <v>303</v>
      </c>
      <c r="X13" s="434"/>
      <c r="Y13" s="434"/>
      <c r="Z13" s="434"/>
      <c r="AA13" s="434"/>
      <c r="AB13" s="434"/>
      <c r="AC13" s="434"/>
      <c r="AD13" s="434"/>
      <c r="AE13" s="434"/>
      <c r="AF13" s="434"/>
      <c r="AG13" s="434"/>
      <c r="AH13" s="434"/>
      <c r="AI13" s="434"/>
      <c r="AJ13" s="434"/>
      <c r="AK13" s="434"/>
      <c r="AL13" s="434"/>
    </row>
    <row r="14" spans="1:38" s="331" customFormat="1" x14ac:dyDescent="0.2">
      <c r="A14" s="347" t="s">
        <v>164</v>
      </c>
      <c r="B14" s="347"/>
      <c r="C14" s="336">
        <v>5.8500000000000003E-2</v>
      </c>
      <c r="D14" s="348" t="s">
        <v>207</v>
      </c>
      <c r="E14" s="343"/>
      <c r="F14" s="343"/>
      <c r="H14" s="340"/>
      <c r="J14" s="340" t="s">
        <v>301</v>
      </c>
      <c r="S14" s="349"/>
      <c r="X14" s="434"/>
      <c r="Y14" s="434"/>
      <c r="Z14" s="434"/>
      <c r="AA14" s="434"/>
      <c r="AB14" s="434"/>
      <c r="AC14" s="434"/>
      <c r="AD14" s="434"/>
      <c r="AE14" s="434"/>
      <c r="AF14" s="434"/>
      <c r="AG14" s="434"/>
      <c r="AH14" s="434"/>
      <c r="AI14" s="434"/>
      <c r="AJ14" s="434"/>
      <c r="AK14" s="434"/>
      <c r="AL14" s="434"/>
    </row>
    <row r="15" spans="1:38" s="331" customFormat="1" x14ac:dyDescent="0.2">
      <c r="A15" s="347" t="s">
        <v>278</v>
      </c>
      <c r="B15" s="347"/>
      <c r="C15" s="336">
        <v>2.2000000000000001E-3</v>
      </c>
      <c r="D15" s="348" t="s">
        <v>208</v>
      </c>
      <c r="E15" s="343"/>
      <c r="F15" s="343"/>
      <c r="H15" s="340"/>
      <c r="J15" s="340" t="s">
        <v>301</v>
      </c>
      <c r="X15" s="434"/>
      <c r="Y15" s="434"/>
      <c r="Z15" s="434"/>
      <c r="AA15" s="434"/>
      <c r="AB15" s="434"/>
      <c r="AC15" s="434"/>
      <c r="AD15" s="434"/>
      <c r="AE15" s="434"/>
      <c r="AF15" s="434"/>
      <c r="AG15" s="434"/>
      <c r="AH15" s="434"/>
      <c r="AI15" s="434"/>
      <c r="AJ15" s="434"/>
      <c r="AK15" s="434"/>
      <c r="AL15" s="434"/>
    </row>
    <row r="16" spans="1:38" s="331" customFormat="1" x14ac:dyDescent="0.2">
      <c r="A16" s="347" t="s">
        <v>327</v>
      </c>
      <c r="B16" s="347"/>
      <c r="C16" s="336">
        <v>0</v>
      </c>
      <c r="D16" s="348" t="s">
        <v>209</v>
      </c>
      <c r="E16" s="343"/>
      <c r="F16" s="343"/>
      <c r="H16" s="340"/>
      <c r="J16" s="340" t="s">
        <v>306</v>
      </c>
      <c r="X16" s="434"/>
      <c r="Y16" s="434"/>
      <c r="Z16" s="434"/>
      <c r="AA16" s="434"/>
      <c r="AB16" s="434"/>
      <c r="AC16" s="434"/>
      <c r="AD16" s="434"/>
      <c r="AE16" s="434"/>
      <c r="AF16" s="434"/>
      <c r="AG16" s="434"/>
      <c r="AH16" s="434"/>
      <c r="AI16" s="434"/>
      <c r="AJ16" s="434"/>
      <c r="AK16" s="434"/>
      <c r="AL16" s="434"/>
    </row>
    <row r="17" spans="1:38" s="331" customFormat="1" x14ac:dyDescent="0.2">
      <c r="A17" s="350" t="s">
        <v>56</v>
      </c>
      <c r="B17" s="350">
        <v>9</v>
      </c>
      <c r="C17" s="336">
        <v>5.2499999999999998E-2</v>
      </c>
      <c r="D17" s="343"/>
      <c r="E17" s="343"/>
      <c r="F17" s="343"/>
      <c r="H17" s="340"/>
      <c r="J17" s="349" t="s">
        <v>302</v>
      </c>
      <c r="X17" s="434"/>
      <c r="Y17" s="434"/>
      <c r="Z17" s="434"/>
      <c r="AA17" s="434"/>
      <c r="AB17" s="434"/>
      <c r="AC17" s="434"/>
      <c r="AD17" s="434"/>
      <c r="AE17" s="434"/>
      <c r="AF17" s="434"/>
      <c r="AG17" s="434"/>
      <c r="AH17" s="434"/>
      <c r="AI17" s="434"/>
      <c r="AJ17" s="434"/>
      <c r="AK17" s="434"/>
      <c r="AL17" s="434"/>
    </row>
    <row r="18" spans="1:38" s="331" customFormat="1" x14ac:dyDescent="0.2">
      <c r="B18" s="331" t="s">
        <v>156</v>
      </c>
      <c r="C18" s="345">
        <f>SUM(C6:C13)+C17</f>
        <v>0.45549999999999996</v>
      </c>
      <c r="D18" s="345">
        <f>SUM(D6:D17)</f>
        <v>7.0199999999999999E-2</v>
      </c>
      <c r="E18" s="345">
        <f>SUM(C18:D18)</f>
        <v>0.52569999999999995</v>
      </c>
      <c r="X18" s="434"/>
      <c r="Y18" s="434"/>
      <c r="Z18" s="434"/>
      <c r="AA18" s="434"/>
      <c r="AB18" s="434"/>
      <c r="AC18" s="434"/>
      <c r="AD18" s="434"/>
      <c r="AE18" s="434"/>
      <c r="AF18" s="434"/>
      <c r="AG18" s="434"/>
      <c r="AH18" s="434"/>
      <c r="AI18" s="434"/>
      <c r="AJ18" s="434"/>
      <c r="AK18" s="434"/>
      <c r="AL18" s="434"/>
    </row>
    <row r="19" spans="1:38" s="331" customFormat="1" x14ac:dyDescent="0.2">
      <c r="S19" s="339"/>
      <c r="X19" s="434"/>
      <c r="Y19" s="434"/>
      <c r="Z19" s="434"/>
      <c r="AA19" s="434"/>
      <c r="AB19" s="434"/>
      <c r="AC19" s="434"/>
      <c r="AD19" s="434"/>
      <c r="AE19" s="434"/>
      <c r="AF19" s="434"/>
      <c r="AG19" s="434"/>
      <c r="AH19" s="434"/>
      <c r="AI19" s="434"/>
      <c r="AJ19" s="434"/>
      <c r="AK19" s="434"/>
      <c r="AL19" s="434"/>
    </row>
    <row r="20" spans="1:38" s="331" customFormat="1" x14ac:dyDescent="0.2">
      <c r="A20" s="330" t="s">
        <v>272</v>
      </c>
      <c r="S20" s="339"/>
      <c r="X20" s="434"/>
      <c r="Y20" s="434"/>
      <c r="Z20" s="434"/>
      <c r="AA20" s="434"/>
      <c r="AB20" s="434"/>
      <c r="AC20" s="434"/>
      <c r="AD20" s="434"/>
      <c r="AE20" s="434"/>
      <c r="AF20" s="434"/>
      <c r="AG20" s="434"/>
      <c r="AH20" s="434"/>
      <c r="AI20" s="434"/>
      <c r="AJ20" s="434"/>
      <c r="AK20" s="434"/>
      <c r="AL20" s="434"/>
    </row>
    <row r="21" spans="1:38" s="331" customFormat="1" x14ac:dyDescent="0.2">
      <c r="A21" s="351" t="s">
        <v>277</v>
      </c>
      <c r="B21" s="352">
        <v>2.2000000000000001E-3</v>
      </c>
      <c r="S21" s="339"/>
      <c r="X21" s="434"/>
      <c r="Y21" s="434"/>
      <c r="Z21" s="434"/>
      <c r="AA21" s="434"/>
      <c r="AB21" s="434"/>
      <c r="AC21" s="434"/>
      <c r="AD21" s="434"/>
      <c r="AE21" s="434"/>
      <c r="AF21" s="434"/>
      <c r="AG21" s="434"/>
      <c r="AH21" s="434"/>
      <c r="AI21" s="434"/>
      <c r="AJ21" s="434"/>
      <c r="AK21" s="434"/>
      <c r="AL21" s="434"/>
    </row>
    <row r="22" spans="1:38" s="331" customFormat="1" x14ac:dyDescent="0.2">
      <c r="A22" s="351" t="s">
        <v>273</v>
      </c>
      <c r="B22" s="352">
        <v>3.2199999999999999E-2</v>
      </c>
      <c r="D22" s="323"/>
      <c r="S22" s="339"/>
      <c r="X22" s="434"/>
      <c r="Y22" s="434"/>
      <c r="Z22" s="434"/>
      <c r="AA22" s="434"/>
      <c r="AB22" s="434"/>
      <c r="AC22" s="434"/>
      <c r="AD22" s="434"/>
      <c r="AE22" s="434"/>
      <c r="AF22" s="434"/>
      <c r="AG22" s="434"/>
      <c r="AH22" s="434"/>
      <c r="AI22" s="434"/>
      <c r="AJ22" s="434"/>
      <c r="AK22" s="434"/>
      <c r="AL22" s="434"/>
    </row>
    <row r="23" spans="1:38" s="331" customFormat="1" x14ac:dyDescent="0.2">
      <c r="A23" s="351" t="s">
        <v>274</v>
      </c>
      <c r="B23" s="352">
        <v>2.2599999999999999E-2</v>
      </c>
      <c r="D23" s="323"/>
      <c r="X23" s="434"/>
      <c r="Y23" s="434"/>
      <c r="Z23" s="434"/>
      <c r="AA23" s="434"/>
      <c r="AB23" s="434"/>
      <c r="AC23" s="434"/>
      <c r="AD23" s="434"/>
      <c r="AE23" s="434"/>
      <c r="AF23" s="434"/>
      <c r="AG23" s="434"/>
      <c r="AH23" s="434"/>
      <c r="AI23" s="434"/>
      <c r="AJ23" s="434"/>
      <c r="AK23" s="434"/>
      <c r="AL23" s="434"/>
    </row>
    <row r="24" spans="1:38" s="331" customFormat="1" x14ac:dyDescent="0.2">
      <c r="A24" s="351" t="s">
        <v>275</v>
      </c>
      <c r="B24" s="352">
        <v>6.7000000000000002E-3</v>
      </c>
      <c r="D24" s="323"/>
      <c r="X24" s="434"/>
      <c r="Y24" s="434"/>
      <c r="Z24" s="434"/>
      <c r="AA24" s="434"/>
      <c r="AB24" s="434"/>
      <c r="AC24" s="434"/>
      <c r="AD24" s="434"/>
      <c r="AE24" s="434"/>
      <c r="AF24" s="434"/>
      <c r="AG24" s="434"/>
      <c r="AH24" s="434"/>
      <c r="AI24" s="434"/>
      <c r="AJ24" s="434"/>
      <c r="AK24" s="434"/>
      <c r="AL24" s="434"/>
    </row>
    <row r="25" spans="1:38" s="331" customFormat="1" x14ac:dyDescent="0.2">
      <c r="A25" s="351" t="s">
        <v>276</v>
      </c>
      <c r="B25" s="352">
        <v>2.7000000000000001E-3</v>
      </c>
      <c r="D25" s="323"/>
      <c r="X25" s="434"/>
      <c r="Y25" s="434"/>
      <c r="Z25" s="434"/>
      <c r="AA25" s="434"/>
      <c r="AB25" s="434"/>
      <c r="AC25" s="434"/>
      <c r="AD25" s="434"/>
      <c r="AE25" s="434"/>
      <c r="AF25" s="434"/>
      <c r="AG25" s="434"/>
      <c r="AH25" s="434"/>
      <c r="AI25" s="434"/>
      <c r="AJ25" s="434"/>
      <c r="AK25" s="434"/>
      <c r="AL25" s="434"/>
    </row>
    <row r="26" spans="1:38" s="331" customFormat="1" x14ac:dyDescent="0.2">
      <c r="X26" s="434"/>
      <c r="Y26" s="434"/>
      <c r="Z26" s="434"/>
      <c r="AA26" s="434"/>
      <c r="AB26" s="434"/>
      <c r="AC26" s="434"/>
      <c r="AD26" s="434"/>
      <c r="AE26" s="434"/>
      <c r="AF26" s="434"/>
      <c r="AG26" s="434"/>
      <c r="AH26" s="434"/>
      <c r="AI26" s="434"/>
      <c r="AJ26" s="434"/>
      <c r="AK26" s="434"/>
      <c r="AL26" s="434"/>
    </row>
    <row r="27" spans="1:38" s="331" customFormat="1" x14ac:dyDescent="0.2">
      <c r="A27" s="330" t="s">
        <v>50</v>
      </c>
      <c r="B27" s="331" t="s">
        <v>314</v>
      </c>
      <c r="C27" s="353">
        <v>31.88</v>
      </c>
      <c r="G27" s="354"/>
      <c r="X27" s="434"/>
      <c r="Y27" s="434"/>
      <c r="Z27" s="434"/>
      <c r="AA27" s="434"/>
      <c r="AB27" s="434"/>
      <c r="AC27" s="434"/>
      <c r="AD27" s="434"/>
      <c r="AE27" s="434"/>
      <c r="AF27" s="434"/>
      <c r="AG27" s="434"/>
      <c r="AH27" s="434"/>
      <c r="AI27" s="434"/>
      <c r="AJ27" s="434"/>
      <c r="AK27" s="434"/>
      <c r="AL27" s="434"/>
    </row>
    <row r="28" spans="1:38" s="331" customFormat="1" x14ac:dyDescent="0.2">
      <c r="B28" s="331" t="s">
        <v>315</v>
      </c>
      <c r="C28" s="353">
        <v>27.96</v>
      </c>
      <c r="X28" s="434"/>
      <c r="Y28" s="434"/>
      <c r="Z28" s="434"/>
      <c r="AA28" s="434"/>
      <c r="AB28" s="434"/>
      <c r="AC28" s="434"/>
      <c r="AD28" s="434"/>
      <c r="AE28" s="434"/>
      <c r="AF28" s="434"/>
      <c r="AG28" s="434"/>
      <c r="AH28" s="434"/>
      <c r="AI28" s="434"/>
      <c r="AJ28" s="434"/>
      <c r="AK28" s="434"/>
      <c r="AL28" s="434"/>
    </row>
    <row r="29" spans="1:38" s="331" customFormat="1" x14ac:dyDescent="0.2">
      <c r="B29" s="331" t="s">
        <v>316</v>
      </c>
      <c r="C29" s="353">
        <v>50.92</v>
      </c>
      <c r="X29" s="434"/>
      <c r="Y29" s="434"/>
      <c r="Z29" s="434"/>
      <c r="AA29" s="434"/>
      <c r="AB29" s="434"/>
      <c r="AC29" s="434"/>
      <c r="AD29" s="434"/>
      <c r="AE29" s="434"/>
      <c r="AF29" s="434"/>
      <c r="AG29" s="434"/>
      <c r="AH29" s="434"/>
      <c r="AI29" s="434"/>
      <c r="AJ29" s="434"/>
      <c r="AK29" s="434"/>
      <c r="AL29" s="434"/>
    </row>
    <row r="30" spans="1:38" s="331" customFormat="1" x14ac:dyDescent="0.2">
      <c r="B30" s="331" t="s">
        <v>317</v>
      </c>
      <c r="C30" s="353">
        <v>25.18</v>
      </c>
      <c r="X30" s="434"/>
      <c r="Y30" s="434"/>
      <c r="Z30" s="434"/>
      <c r="AA30" s="434"/>
      <c r="AB30" s="434"/>
      <c r="AC30" s="434"/>
      <c r="AD30" s="434"/>
      <c r="AE30" s="434"/>
      <c r="AF30" s="434"/>
      <c r="AG30" s="434"/>
      <c r="AH30" s="434"/>
      <c r="AI30" s="434"/>
      <c r="AJ30" s="434"/>
      <c r="AK30" s="434"/>
      <c r="AL30" s="434"/>
    </row>
    <row r="31" spans="1:38" s="331" customFormat="1" x14ac:dyDescent="0.2">
      <c r="B31" s="331" t="s">
        <v>318</v>
      </c>
      <c r="C31" s="353">
        <v>0</v>
      </c>
      <c r="X31" s="434"/>
      <c r="Y31" s="434"/>
      <c r="Z31" s="434"/>
      <c r="AA31" s="434"/>
      <c r="AB31" s="434"/>
      <c r="AC31" s="434"/>
      <c r="AD31" s="434"/>
      <c r="AE31" s="434"/>
      <c r="AF31" s="434"/>
      <c r="AG31" s="434"/>
      <c r="AH31" s="434"/>
      <c r="AI31" s="434"/>
      <c r="AJ31" s="434"/>
      <c r="AK31" s="434"/>
      <c r="AL31" s="434"/>
    </row>
    <row r="32" spans="1:38" s="331" customFormat="1" x14ac:dyDescent="0.2">
      <c r="C32" s="355"/>
      <c r="X32" s="434"/>
      <c r="Y32" s="434"/>
      <c r="Z32" s="434"/>
      <c r="AA32" s="434"/>
      <c r="AB32" s="434"/>
      <c r="AC32" s="434"/>
      <c r="AD32" s="434"/>
      <c r="AE32" s="434"/>
      <c r="AF32" s="434"/>
      <c r="AG32" s="434"/>
      <c r="AH32" s="434"/>
      <c r="AI32" s="434"/>
      <c r="AJ32" s="434"/>
      <c r="AK32" s="434"/>
      <c r="AL32" s="434"/>
    </row>
    <row r="33" spans="1:38" s="331" customFormat="1" x14ac:dyDescent="0.2">
      <c r="A33" s="330" t="s">
        <v>337</v>
      </c>
      <c r="C33" s="430">
        <v>750</v>
      </c>
      <c r="E33" s="332"/>
      <c r="X33" s="434"/>
      <c r="Y33" s="434"/>
      <c r="Z33" s="434"/>
      <c r="AA33" s="434"/>
      <c r="AB33" s="434"/>
      <c r="AC33" s="434"/>
      <c r="AD33" s="434"/>
      <c r="AE33" s="434"/>
      <c r="AF33" s="434"/>
      <c r="AG33" s="434"/>
      <c r="AH33" s="434"/>
      <c r="AI33" s="434"/>
      <c r="AJ33" s="434"/>
      <c r="AK33" s="434"/>
      <c r="AL33" s="434"/>
    </row>
    <row r="34" spans="1:38" s="331" customFormat="1" x14ac:dyDescent="0.2">
      <c r="C34" s="355"/>
      <c r="E34" s="332"/>
      <c r="X34" s="434"/>
      <c r="Y34" s="434"/>
      <c r="Z34" s="434"/>
      <c r="AA34" s="434"/>
      <c r="AB34" s="434"/>
      <c r="AC34" s="434"/>
      <c r="AD34" s="434"/>
      <c r="AE34" s="434"/>
      <c r="AF34" s="434"/>
      <c r="AG34" s="434"/>
      <c r="AH34" s="434"/>
      <c r="AI34" s="434"/>
      <c r="AJ34" s="434"/>
      <c r="AK34" s="434"/>
      <c r="AL34" s="434"/>
    </row>
    <row r="35" spans="1:38" s="331" customFormat="1" x14ac:dyDescent="0.2">
      <c r="A35" s="330" t="s">
        <v>338</v>
      </c>
      <c r="C35" s="431">
        <v>0.42</v>
      </c>
      <c r="E35" s="332"/>
      <c r="X35" s="434"/>
      <c r="Y35" s="434"/>
      <c r="Z35" s="434"/>
      <c r="AA35" s="434"/>
      <c r="AB35" s="434"/>
      <c r="AC35" s="434"/>
      <c r="AD35" s="434"/>
      <c r="AE35" s="434"/>
      <c r="AF35" s="434"/>
      <c r="AG35" s="434"/>
      <c r="AH35" s="434"/>
      <c r="AI35" s="434"/>
      <c r="AJ35" s="434"/>
      <c r="AK35" s="434"/>
      <c r="AL35" s="434"/>
    </row>
    <row r="36" spans="1:38" s="331" customFormat="1" x14ac:dyDescent="0.2">
      <c r="D36" s="356" t="s">
        <v>42</v>
      </c>
      <c r="X36" s="434"/>
      <c r="Y36" s="434"/>
      <c r="Z36" s="434"/>
      <c r="AA36" s="434"/>
      <c r="AB36" s="434"/>
      <c r="AC36" s="434"/>
      <c r="AD36" s="434"/>
      <c r="AE36" s="434"/>
      <c r="AF36" s="434"/>
      <c r="AG36" s="434"/>
      <c r="AH36" s="434"/>
      <c r="AI36" s="434"/>
      <c r="AJ36" s="434"/>
      <c r="AK36" s="434"/>
      <c r="AL36" s="434"/>
    </row>
    <row r="37" spans="1:38" s="331" customFormat="1" x14ac:dyDescent="0.2">
      <c r="A37" s="330" t="s">
        <v>84</v>
      </c>
      <c r="C37" s="357">
        <v>35.33</v>
      </c>
      <c r="D37" s="358"/>
      <c r="X37" s="434"/>
      <c r="Y37" s="434"/>
      <c r="Z37" s="434"/>
      <c r="AA37" s="434"/>
      <c r="AB37" s="434"/>
      <c r="AC37" s="434"/>
      <c r="AD37" s="434"/>
      <c r="AE37" s="434"/>
      <c r="AF37" s="434"/>
      <c r="AG37" s="434"/>
      <c r="AH37" s="434"/>
      <c r="AI37" s="434"/>
      <c r="AJ37" s="434"/>
      <c r="AK37" s="434"/>
      <c r="AL37" s="434"/>
    </row>
    <row r="38" spans="1:38" s="331" customFormat="1" x14ac:dyDescent="0.2">
      <c r="X38" s="434"/>
      <c r="Y38" s="434"/>
      <c r="Z38" s="434"/>
      <c r="AA38" s="434"/>
      <c r="AB38" s="434"/>
      <c r="AC38" s="434"/>
      <c r="AD38" s="434"/>
      <c r="AE38" s="434"/>
      <c r="AF38" s="434"/>
      <c r="AG38" s="434"/>
      <c r="AH38" s="434"/>
      <c r="AI38" s="434"/>
      <c r="AJ38" s="434"/>
      <c r="AK38" s="434"/>
      <c r="AL38" s="434"/>
    </row>
    <row r="39" spans="1:38" s="331" customFormat="1" x14ac:dyDescent="0.2">
      <c r="A39" s="330" t="s">
        <v>165</v>
      </c>
      <c r="C39" s="336">
        <v>8.0000000000000002E-3</v>
      </c>
      <c r="D39" s="345"/>
      <c r="X39" s="434"/>
      <c r="Y39" s="434"/>
      <c r="Z39" s="434"/>
      <c r="AA39" s="434"/>
      <c r="AB39" s="434"/>
      <c r="AC39" s="434"/>
      <c r="AD39" s="434"/>
      <c r="AE39" s="434"/>
      <c r="AF39" s="434"/>
      <c r="AG39" s="434"/>
      <c r="AH39" s="434"/>
      <c r="AI39" s="434"/>
      <c r="AJ39" s="434"/>
      <c r="AK39" s="434"/>
      <c r="AL39" s="434"/>
    </row>
    <row r="40" spans="1:38" s="331" customFormat="1" x14ac:dyDescent="0.2">
      <c r="C40" s="332"/>
      <c r="D40" s="332"/>
      <c r="X40" s="434"/>
      <c r="Y40" s="434"/>
      <c r="Z40" s="434"/>
      <c r="AA40" s="434"/>
      <c r="AB40" s="434"/>
      <c r="AC40" s="434"/>
      <c r="AD40" s="434"/>
      <c r="AE40" s="434"/>
      <c r="AF40" s="434"/>
      <c r="AG40" s="434"/>
      <c r="AH40" s="434"/>
      <c r="AI40" s="434"/>
      <c r="AJ40" s="434"/>
      <c r="AK40" s="434"/>
      <c r="AL40" s="434"/>
    </row>
    <row r="41" spans="1:38" s="331" customFormat="1" x14ac:dyDescent="0.2">
      <c r="A41" s="505" t="s">
        <v>36</v>
      </c>
      <c r="C41" s="332"/>
      <c r="D41" s="506">
        <v>0.08</v>
      </c>
      <c r="X41" s="434"/>
      <c r="Y41" s="434"/>
      <c r="Z41" s="434"/>
      <c r="AA41" s="434"/>
      <c r="AB41" s="434"/>
      <c r="AC41" s="434"/>
      <c r="AD41" s="434"/>
      <c r="AE41" s="434"/>
      <c r="AF41" s="434"/>
      <c r="AG41" s="434"/>
      <c r="AH41" s="434"/>
      <c r="AI41" s="434"/>
      <c r="AJ41" s="434"/>
      <c r="AK41" s="434"/>
      <c r="AL41" s="434"/>
    </row>
    <row r="42" spans="1:38" s="331" customFormat="1" x14ac:dyDescent="0.2">
      <c r="C42" s="332"/>
      <c r="D42" s="504"/>
      <c r="X42" s="434"/>
      <c r="Y42" s="434"/>
      <c r="Z42" s="434"/>
      <c r="AA42" s="434"/>
      <c r="AB42" s="434"/>
      <c r="AC42" s="434"/>
      <c r="AD42" s="434"/>
      <c r="AE42" s="434"/>
      <c r="AF42" s="434"/>
      <c r="AG42" s="434"/>
      <c r="AH42" s="434"/>
      <c r="AI42" s="434"/>
      <c r="AJ42" s="434"/>
      <c r="AK42" s="434"/>
      <c r="AL42" s="434"/>
    </row>
    <row r="43" spans="1:38" s="331" customFormat="1" x14ac:dyDescent="0.2">
      <c r="A43" s="330" t="s">
        <v>59</v>
      </c>
      <c r="B43" s="330"/>
      <c r="D43" s="353">
        <v>153.16</v>
      </c>
      <c r="E43" s="331" t="s">
        <v>170</v>
      </c>
      <c r="H43" s="332"/>
      <c r="X43" s="434"/>
      <c r="Y43" s="434"/>
      <c r="Z43" s="434"/>
      <c r="AA43" s="434"/>
      <c r="AB43" s="434"/>
      <c r="AC43" s="434"/>
      <c r="AD43" s="434"/>
      <c r="AE43" s="434"/>
      <c r="AF43" s="434"/>
      <c r="AG43" s="434"/>
      <c r="AH43" s="434"/>
      <c r="AI43" s="434"/>
      <c r="AJ43" s="434"/>
      <c r="AK43" s="434"/>
      <c r="AL43" s="434"/>
    </row>
    <row r="44" spans="1:38" s="331" customFormat="1" x14ac:dyDescent="0.2">
      <c r="A44" s="330" t="s">
        <v>57</v>
      </c>
      <c r="B44" s="330"/>
      <c r="D44" s="336">
        <v>6.3E-2</v>
      </c>
      <c r="X44" s="434"/>
      <c r="Y44" s="434"/>
      <c r="Z44" s="434"/>
      <c r="AA44" s="434"/>
      <c r="AB44" s="434"/>
      <c r="AC44" s="434"/>
      <c r="AD44" s="434"/>
      <c r="AE44" s="434"/>
      <c r="AF44" s="434"/>
      <c r="AG44" s="434"/>
      <c r="AH44" s="434"/>
      <c r="AI44" s="434"/>
      <c r="AJ44" s="434"/>
      <c r="AK44" s="434"/>
      <c r="AL44" s="434"/>
    </row>
    <row r="45" spans="1:38" s="331" customFormat="1" x14ac:dyDescent="0.2">
      <c r="A45" s="331" t="s">
        <v>86</v>
      </c>
      <c r="B45" s="330"/>
      <c r="C45" s="331">
        <v>0</v>
      </c>
      <c r="D45" s="353">
        <v>0</v>
      </c>
      <c r="G45" s="326"/>
      <c r="H45" s="326"/>
      <c r="X45" s="434"/>
      <c r="Y45" s="434"/>
      <c r="Z45" s="434"/>
      <c r="AA45" s="434"/>
      <c r="AB45" s="434"/>
      <c r="AC45" s="434"/>
      <c r="AD45" s="434"/>
      <c r="AE45" s="434"/>
      <c r="AF45" s="434"/>
      <c r="AG45" s="434"/>
      <c r="AH45" s="434"/>
      <c r="AI45" s="434"/>
      <c r="AJ45" s="434"/>
      <c r="AK45" s="434"/>
      <c r="AL45" s="434"/>
    </row>
    <row r="46" spans="1:38" s="331" customFormat="1" x14ac:dyDescent="0.2">
      <c r="B46" s="330"/>
      <c r="C46" s="331">
        <v>1</v>
      </c>
      <c r="D46" s="353">
        <v>1166.79</v>
      </c>
      <c r="G46" s="326"/>
      <c r="H46" s="326"/>
      <c r="X46" s="434"/>
      <c r="Y46" s="434"/>
      <c r="Z46" s="434"/>
      <c r="AA46" s="434"/>
      <c r="AB46" s="434"/>
      <c r="AC46" s="434"/>
      <c r="AD46" s="434"/>
      <c r="AE46" s="434"/>
      <c r="AF46" s="434"/>
      <c r="AG46" s="434"/>
      <c r="AH46" s="434"/>
      <c r="AI46" s="434"/>
      <c r="AJ46" s="434"/>
      <c r="AK46" s="434"/>
      <c r="AL46" s="434"/>
    </row>
    <row r="47" spans="1:38" s="331" customFormat="1" x14ac:dyDescent="0.2">
      <c r="B47" s="330"/>
      <c r="C47" s="331">
        <v>6</v>
      </c>
      <c r="D47" s="353">
        <v>1117.74</v>
      </c>
      <c r="G47" s="326"/>
      <c r="H47" s="326"/>
      <c r="X47" s="434"/>
      <c r="Y47" s="434"/>
      <c r="Z47" s="434"/>
      <c r="AA47" s="434"/>
      <c r="AB47" s="434"/>
      <c r="AC47" s="434"/>
      <c r="AD47" s="434"/>
      <c r="AE47" s="434"/>
      <c r="AF47" s="434"/>
      <c r="AG47" s="434"/>
      <c r="AH47" s="434"/>
      <c r="AI47" s="434"/>
      <c r="AJ47" s="434"/>
      <c r="AK47" s="434"/>
      <c r="AL47" s="434"/>
    </row>
    <row r="48" spans="1:38" s="331" customFormat="1" x14ac:dyDescent="0.2">
      <c r="B48" s="330"/>
      <c r="C48" s="331">
        <v>9</v>
      </c>
      <c r="D48" s="353">
        <v>0</v>
      </c>
      <c r="G48" s="326"/>
      <c r="H48" s="326"/>
      <c r="X48" s="434"/>
      <c r="Y48" s="434"/>
      <c r="Z48" s="434"/>
      <c r="AA48" s="434"/>
      <c r="AB48" s="434"/>
      <c r="AC48" s="434"/>
      <c r="AD48" s="434"/>
      <c r="AE48" s="434"/>
      <c r="AF48" s="434"/>
      <c r="AG48" s="434"/>
      <c r="AH48" s="434"/>
      <c r="AI48" s="434"/>
      <c r="AJ48" s="434"/>
      <c r="AK48" s="434"/>
      <c r="AL48" s="434"/>
    </row>
    <row r="49" spans="1:38" s="331" customFormat="1" x14ac:dyDescent="0.2">
      <c r="B49" s="330"/>
      <c r="D49" s="355"/>
      <c r="G49" s="326"/>
      <c r="H49" s="326"/>
      <c r="X49" s="434"/>
      <c r="Y49" s="434"/>
      <c r="Z49" s="434"/>
      <c r="AA49" s="434"/>
      <c r="AB49" s="434"/>
      <c r="AC49" s="434"/>
      <c r="AD49" s="434"/>
      <c r="AE49" s="434"/>
      <c r="AF49" s="434"/>
      <c r="AG49" s="434"/>
      <c r="AH49" s="434"/>
      <c r="AI49" s="434"/>
      <c r="AJ49" s="434"/>
      <c r="AK49" s="434"/>
      <c r="AL49" s="434"/>
    </row>
    <row r="50" spans="1:38" s="331" customFormat="1" x14ac:dyDescent="0.2">
      <c r="A50" s="359" t="s">
        <v>161</v>
      </c>
      <c r="B50" s="326"/>
      <c r="C50" s="326"/>
      <c r="D50" s="353">
        <v>200</v>
      </c>
      <c r="E50" s="326"/>
      <c r="F50" s="326"/>
      <c r="X50" s="434"/>
      <c r="Y50" s="434"/>
      <c r="Z50" s="434"/>
      <c r="AA50" s="434"/>
      <c r="AB50" s="434"/>
      <c r="AC50" s="434"/>
      <c r="AD50" s="434"/>
      <c r="AE50" s="434"/>
      <c r="AF50" s="434"/>
      <c r="AG50" s="434"/>
      <c r="AH50" s="434"/>
      <c r="AI50" s="434"/>
      <c r="AJ50" s="434"/>
      <c r="AK50" s="434"/>
      <c r="AL50" s="434"/>
    </row>
    <row r="51" spans="1:38" s="331" customFormat="1" x14ac:dyDescent="0.2">
      <c r="X51" s="434"/>
      <c r="Y51" s="434"/>
      <c r="Z51" s="434"/>
      <c r="AA51" s="434"/>
      <c r="AB51" s="434"/>
      <c r="AC51" s="434"/>
      <c r="AD51" s="434"/>
      <c r="AE51" s="434"/>
      <c r="AF51" s="434"/>
      <c r="AG51" s="434"/>
      <c r="AH51" s="434"/>
      <c r="AI51" s="434"/>
      <c r="AJ51" s="434"/>
      <c r="AK51" s="434"/>
      <c r="AL51" s="434"/>
    </row>
    <row r="52" spans="1:38" s="331" customFormat="1" x14ac:dyDescent="0.2">
      <c r="A52" s="330" t="s">
        <v>166</v>
      </c>
      <c r="D52" s="353">
        <v>324.87</v>
      </c>
      <c r="X52" s="434"/>
      <c r="Y52" s="434"/>
      <c r="Z52" s="434"/>
      <c r="AA52" s="434"/>
      <c r="AB52" s="434"/>
      <c r="AC52" s="434"/>
      <c r="AD52" s="434"/>
      <c r="AE52" s="434"/>
      <c r="AF52" s="434"/>
      <c r="AG52" s="434"/>
      <c r="AH52" s="434"/>
      <c r="AI52" s="434"/>
      <c r="AJ52" s="434"/>
      <c r="AK52" s="434"/>
      <c r="AL52" s="434"/>
    </row>
    <row r="53" spans="1:38" s="331" customFormat="1" x14ac:dyDescent="0.2">
      <c r="X53" s="434"/>
      <c r="Y53" s="434"/>
      <c r="Z53" s="434"/>
      <c r="AA53" s="434"/>
      <c r="AB53" s="434"/>
      <c r="AC53" s="434"/>
      <c r="AD53" s="434"/>
      <c r="AE53" s="434"/>
      <c r="AF53" s="434"/>
      <c r="AG53" s="434"/>
      <c r="AH53" s="434"/>
      <c r="AI53" s="434"/>
      <c r="AJ53" s="434"/>
      <c r="AK53" s="434"/>
      <c r="AL53" s="434"/>
    </row>
    <row r="54" spans="1:38" s="331" customFormat="1" x14ac:dyDescent="0.2">
      <c r="A54" s="330" t="s">
        <v>311</v>
      </c>
      <c r="X54" s="434"/>
      <c r="Y54" s="434"/>
      <c r="Z54" s="434"/>
      <c r="AA54" s="434"/>
      <c r="AB54" s="434"/>
      <c r="AC54" s="434"/>
      <c r="AD54" s="434"/>
      <c r="AE54" s="434"/>
      <c r="AF54" s="434"/>
      <c r="AG54" s="434"/>
      <c r="AH54" s="434"/>
      <c r="AI54" s="434"/>
      <c r="AJ54" s="434"/>
      <c r="AK54" s="434"/>
      <c r="AL54" s="434"/>
    </row>
    <row r="55" spans="1:38" s="331" customFormat="1" x14ac:dyDescent="0.2">
      <c r="A55" s="330" t="s">
        <v>312</v>
      </c>
      <c r="X55" s="434"/>
      <c r="Y55" s="434"/>
      <c r="Z55" s="434"/>
      <c r="AA55" s="434"/>
      <c r="AB55" s="434"/>
      <c r="AC55" s="434"/>
      <c r="AD55" s="434"/>
      <c r="AE55" s="434"/>
      <c r="AF55" s="434"/>
      <c r="AG55" s="434"/>
      <c r="AH55" s="434"/>
      <c r="AI55" s="434"/>
      <c r="AJ55" s="434"/>
      <c r="AK55" s="434"/>
      <c r="AL55" s="434"/>
    </row>
    <row r="56" spans="1:38" s="331" customFormat="1" x14ac:dyDescent="0.2">
      <c r="A56" s="360" t="s">
        <v>75</v>
      </c>
      <c r="X56" s="434"/>
      <c r="Y56" s="434"/>
      <c r="Z56" s="434"/>
      <c r="AA56" s="434"/>
      <c r="AB56" s="434"/>
      <c r="AC56" s="434"/>
      <c r="AD56" s="434"/>
      <c r="AE56" s="434"/>
      <c r="AF56" s="434"/>
      <c r="AG56" s="434"/>
      <c r="AH56" s="434"/>
      <c r="AI56" s="434"/>
      <c r="AJ56" s="434"/>
      <c r="AK56" s="434"/>
      <c r="AL56" s="434"/>
    </row>
    <row r="57" spans="1:38" s="331" customFormat="1" x14ac:dyDescent="0.2">
      <c r="A57" s="361"/>
      <c r="X57" s="434"/>
      <c r="Y57" s="434"/>
      <c r="Z57" s="434"/>
      <c r="AA57" s="434"/>
      <c r="AB57" s="434"/>
      <c r="AC57" s="434"/>
      <c r="AD57" s="434"/>
      <c r="AE57" s="434"/>
      <c r="AF57" s="434"/>
      <c r="AG57" s="434"/>
      <c r="AH57" s="434"/>
      <c r="AI57" s="434"/>
      <c r="AJ57" s="434"/>
      <c r="AK57" s="434"/>
      <c r="AL57" s="434"/>
    </row>
    <row r="58" spans="1:38" s="331" customFormat="1" x14ac:dyDescent="0.2">
      <c r="A58" s="330" t="s">
        <v>154</v>
      </c>
      <c r="E58" s="325" t="s">
        <v>307</v>
      </c>
      <c r="G58" s="362"/>
      <c r="X58" s="434"/>
      <c r="Y58" s="434"/>
      <c r="Z58" s="434"/>
      <c r="AA58" s="434"/>
      <c r="AB58" s="434"/>
      <c r="AC58" s="434"/>
      <c r="AD58" s="434"/>
      <c r="AE58" s="434"/>
      <c r="AF58" s="434"/>
      <c r="AG58" s="434"/>
      <c r="AH58" s="434"/>
      <c r="AI58" s="434"/>
      <c r="AJ58" s="434"/>
      <c r="AK58" s="434"/>
      <c r="AL58" s="434"/>
    </row>
    <row r="59" spans="1:38" s="331" customFormat="1" x14ac:dyDescent="0.2">
      <c r="A59" s="330" t="s">
        <v>76</v>
      </c>
      <c r="B59" s="331" t="s">
        <v>155</v>
      </c>
      <c r="C59" s="331" t="s">
        <v>77</v>
      </c>
      <c r="X59" s="434"/>
      <c r="Y59" s="434"/>
      <c r="Z59" s="434"/>
      <c r="AA59" s="434"/>
      <c r="AB59" s="434"/>
      <c r="AC59" s="434"/>
      <c r="AD59" s="434"/>
      <c r="AE59" s="434"/>
      <c r="AF59" s="434"/>
      <c r="AG59" s="434"/>
      <c r="AH59" s="434"/>
      <c r="AI59" s="434"/>
      <c r="AJ59" s="434"/>
      <c r="AK59" s="434"/>
      <c r="AL59" s="434"/>
    </row>
    <row r="60" spans="1:38" s="331" customFormat="1" x14ac:dyDescent="0.2">
      <c r="A60" s="331">
        <v>1</v>
      </c>
      <c r="B60" s="363">
        <v>20142</v>
      </c>
      <c r="C60" s="370">
        <v>0.36549999999999999</v>
      </c>
      <c r="X60" s="434"/>
      <c r="Y60" s="434"/>
      <c r="Z60" s="434"/>
      <c r="AA60" s="434"/>
      <c r="AB60" s="434"/>
      <c r="AC60" s="434"/>
      <c r="AD60" s="434"/>
      <c r="AE60" s="434"/>
      <c r="AF60" s="434"/>
      <c r="AG60" s="434"/>
      <c r="AH60" s="434"/>
      <c r="AI60" s="434"/>
      <c r="AJ60" s="434"/>
      <c r="AK60" s="434"/>
      <c r="AL60" s="434"/>
    </row>
    <row r="61" spans="1:38" s="331" customFormat="1" x14ac:dyDescent="0.2">
      <c r="A61" s="331">
        <v>2</v>
      </c>
      <c r="B61" s="363">
        <v>33994</v>
      </c>
      <c r="C61" s="370">
        <v>0.40849999999999997</v>
      </c>
      <c r="X61" s="434"/>
      <c r="Y61" s="434"/>
      <c r="Z61" s="434"/>
      <c r="AA61" s="434"/>
      <c r="AB61" s="434"/>
      <c r="AC61" s="434"/>
      <c r="AD61" s="434"/>
      <c r="AE61" s="434"/>
      <c r="AF61" s="434"/>
      <c r="AG61" s="434"/>
      <c r="AH61" s="434"/>
      <c r="AI61" s="434"/>
      <c r="AJ61" s="434"/>
      <c r="AK61" s="434"/>
      <c r="AL61" s="434"/>
    </row>
    <row r="62" spans="1:38" s="331" customFormat="1" x14ac:dyDescent="0.2">
      <c r="A62" s="331">
        <v>3</v>
      </c>
      <c r="B62" s="363">
        <v>68507</v>
      </c>
      <c r="C62" s="370">
        <v>0.40849999999999997</v>
      </c>
      <c r="X62" s="434"/>
      <c r="Y62" s="434"/>
      <c r="Z62" s="434"/>
      <c r="AA62" s="434"/>
      <c r="AB62" s="434"/>
      <c r="AC62" s="434"/>
      <c r="AD62" s="434"/>
      <c r="AE62" s="434"/>
      <c r="AF62" s="434"/>
      <c r="AG62" s="434"/>
      <c r="AH62" s="434"/>
      <c r="AI62" s="434"/>
      <c r="AJ62" s="434"/>
      <c r="AK62" s="434"/>
      <c r="AL62" s="434"/>
    </row>
    <row r="63" spans="1:38" s="331" customFormat="1" x14ac:dyDescent="0.2">
      <c r="A63" s="331">
        <v>4</v>
      </c>
      <c r="B63" s="363">
        <v>999999</v>
      </c>
      <c r="C63" s="370">
        <v>0.51949999999999996</v>
      </c>
      <c r="X63" s="434"/>
      <c r="Y63" s="434"/>
      <c r="Z63" s="434"/>
      <c r="AA63" s="434"/>
      <c r="AB63" s="434"/>
      <c r="AC63" s="434"/>
      <c r="AD63" s="434"/>
      <c r="AE63" s="434"/>
      <c r="AF63" s="434"/>
      <c r="AG63" s="434"/>
      <c r="AH63" s="434"/>
      <c r="AI63" s="434"/>
      <c r="AJ63" s="434"/>
      <c r="AK63" s="434"/>
      <c r="AL63" s="434"/>
    </row>
    <row r="64" spans="1:38" s="331" customFormat="1" x14ac:dyDescent="0.2">
      <c r="X64" s="434"/>
      <c r="Y64" s="434"/>
      <c r="Z64" s="434"/>
      <c r="AA64" s="434"/>
      <c r="AB64" s="434"/>
      <c r="AC64" s="434"/>
      <c r="AD64" s="434"/>
      <c r="AE64" s="434"/>
      <c r="AF64" s="434"/>
      <c r="AG64" s="434"/>
      <c r="AH64" s="434"/>
      <c r="AI64" s="434"/>
      <c r="AJ64" s="434"/>
      <c r="AK64" s="434"/>
      <c r="AL64" s="434"/>
    </row>
    <row r="65" spans="1:38" s="331" customFormat="1" hidden="1" x14ac:dyDescent="0.2">
      <c r="A65" s="330" t="s">
        <v>78</v>
      </c>
      <c r="X65" s="434"/>
      <c r="Y65" s="434"/>
      <c r="Z65" s="434"/>
      <c r="AA65" s="434"/>
      <c r="AB65" s="434"/>
      <c r="AC65" s="434"/>
      <c r="AD65" s="434"/>
      <c r="AE65" s="434"/>
      <c r="AF65" s="434"/>
      <c r="AG65" s="434"/>
      <c r="AH65" s="434"/>
      <c r="AI65" s="434"/>
      <c r="AJ65" s="434"/>
      <c r="AK65" s="434"/>
      <c r="AL65" s="434"/>
    </row>
    <row r="66" spans="1:38" s="331" customFormat="1" hidden="1" x14ac:dyDescent="0.2">
      <c r="A66" s="331" t="s">
        <v>79</v>
      </c>
      <c r="B66" s="363">
        <v>2242</v>
      </c>
      <c r="X66" s="434"/>
      <c r="Y66" s="434"/>
      <c r="Z66" s="434"/>
      <c r="AA66" s="434"/>
      <c r="AB66" s="434"/>
      <c r="AC66" s="434"/>
      <c r="AD66" s="434"/>
      <c r="AE66" s="434"/>
      <c r="AF66" s="434"/>
      <c r="AG66" s="434"/>
      <c r="AH66" s="434"/>
      <c r="AI66" s="434"/>
      <c r="AJ66" s="434"/>
      <c r="AK66" s="434"/>
      <c r="AL66" s="434"/>
    </row>
    <row r="67" spans="1:38" s="331" customFormat="1" hidden="1" x14ac:dyDescent="0.2">
      <c r="A67" s="364"/>
      <c r="B67" s="364" t="s">
        <v>81</v>
      </c>
      <c r="C67" s="364" t="s">
        <v>82</v>
      </c>
      <c r="D67" s="365" t="s">
        <v>83</v>
      </c>
      <c r="E67" s="332"/>
      <c r="X67" s="434"/>
      <c r="Y67" s="434"/>
      <c r="Z67" s="434"/>
      <c r="AA67" s="434"/>
      <c r="AB67" s="434"/>
      <c r="AC67" s="434"/>
      <c r="AD67" s="434"/>
      <c r="AE67" s="434"/>
      <c r="AF67" s="434"/>
      <c r="AG67" s="434"/>
      <c r="AH67" s="434"/>
      <c r="AI67" s="434"/>
      <c r="AJ67" s="434"/>
      <c r="AK67" s="434"/>
      <c r="AL67" s="434"/>
    </row>
    <row r="68" spans="1:38" s="331" customFormat="1" hidden="1" x14ac:dyDescent="0.2">
      <c r="A68" s="364" t="s">
        <v>80</v>
      </c>
      <c r="B68" s="364">
        <v>1947</v>
      </c>
      <c r="C68" s="366">
        <v>0.1232</v>
      </c>
      <c r="D68" s="367">
        <v>1611</v>
      </c>
      <c r="E68" s="332"/>
      <c r="X68" s="434"/>
      <c r="Y68" s="434"/>
      <c r="Z68" s="434"/>
      <c r="AA68" s="434"/>
      <c r="AB68" s="434"/>
      <c r="AC68" s="434"/>
      <c r="AD68" s="434"/>
      <c r="AE68" s="434"/>
      <c r="AF68" s="434"/>
      <c r="AG68" s="434"/>
      <c r="AH68" s="434"/>
      <c r="AI68" s="434"/>
      <c r="AJ68" s="434"/>
      <c r="AK68" s="434"/>
      <c r="AL68" s="434"/>
    </row>
    <row r="69" spans="1:38" s="331" customFormat="1" hidden="1" x14ac:dyDescent="0.2">
      <c r="A69" s="364"/>
      <c r="B69" s="364">
        <v>1949</v>
      </c>
      <c r="C69" s="366">
        <v>0.1232</v>
      </c>
      <c r="D69" s="367">
        <v>1611</v>
      </c>
      <c r="E69" s="332"/>
      <c r="X69" s="434"/>
      <c r="Y69" s="434"/>
      <c r="Z69" s="434"/>
      <c r="AA69" s="434"/>
      <c r="AB69" s="434"/>
      <c r="AC69" s="434"/>
      <c r="AD69" s="434"/>
      <c r="AE69" s="434"/>
      <c r="AF69" s="434"/>
      <c r="AG69" s="434"/>
      <c r="AH69" s="434"/>
      <c r="AI69" s="434"/>
      <c r="AJ69" s="434"/>
      <c r="AK69" s="434"/>
      <c r="AL69" s="434"/>
    </row>
    <row r="70" spans="1:38" s="331" customFormat="1" hidden="1" x14ac:dyDescent="0.2">
      <c r="A70" s="364"/>
      <c r="B70" s="364">
        <v>1951</v>
      </c>
      <c r="C70" s="366">
        <v>0.1232</v>
      </c>
      <c r="D70" s="367">
        <v>1611</v>
      </c>
      <c r="E70" s="332"/>
      <c r="X70" s="434"/>
      <c r="Y70" s="434"/>
      <c r="Z70" s="434"/>
      <c r="AA70" s="434"/>
      <c r="AB70" s="434"/>
      <c r="AC70" s="434"/>
      <c r="AD70" s="434"/>
      <c r="AE70" s="434"/>
      <c r="AF70" s="434"/>
      <c r="AG70" s="434"/>
      <c r="AH70" s="434"/>
      <c r="AI70" s="434"/>
      <c r="AJ70" s="434"/>
      <c r="AK70" s="434"/>
      <c r="AL70" s="434"/>
    </row>
    <row r="71" spans="1:38" s="331" customFormat="1" hidden="1" x14ac:dyDescent="0.2">
      <c r="A71" s="364"/>
      <c r="B71" s="364">
        <v>1954</v>
      </c>
      <c r="C71" s="366">
        <v>0.1232</v>
      </c>
      <c r="D71" s="367">
        <v>1611</v>
      </c>
      <c r="E71" s="332"/>
      <c r="X71" s="434"/>
      <c r="Y71" s="434"/>
      <c r="Z71" s="434"/>
      <c r="AA71" s="434"/>
      <c r="AB71" s="434"/>
      <c r="AC71" s="434"/>
      <c r="AD71" s="434"/>
      <c r="AE71" s="434"/>
      <c r="AF71" s="434"/>
      <c r="AG71" s="434"/>
      <c r="AH71" s="434"/>
      <c r="AI71" s="434"/>
      <c r="AJ71" s="434"/>
      <c r="AK71" s="434"/>
      <c r="AL71" s="434"/>
    </row>
    <row r="72" spans="1:38" s="331" customFormat="1" hidden="1" x14ac:dyDescent="0.2">
      <c r="C72" s="368"/>
      <c r="X72" s="434"/>
      <c r="Y72" s="434"/>
      <c r="Z72" s="434"/>
      <c r="AA72" s="434"/>
      <c r="AB72" s="434"/>
      <c r="AC72" s="434"/>
      <c r="AD72" s="434"/>
      <c r="AE72" s="434"/>
      <c r="AF72" s="434"/>
      <c r="AG72" s="434"/>
      <c r="AH72" s="434"/>
      <c r="AI72" s="434"/>
      <c r="AJ72" s="434"/>
      <c r="AK72" s="434"/>
      <c r="AL72" s="434"/>
    </row>
    <row r="73" spans="1:38" hidden="1" x14ac:dyDescent="0.2">
      <c r="A73" s="414" t="s">
        <v>1</v>
      </c>
      <c r="B73" s="698">
        <v>42552</v>
      </c>
      <c r="C73" s="698"/>
      <c r="D73" s="415"/>
      <c r="E73" s="416"/>
      <c r="F73" s="416"/>
      <c r="G73" s="416"/>
      <c r="H73" s="416"/>
      <c r="I73" s="416"/>
      <c r="J73" s="416"/>
      <c r="K73" s="416"/>
      <c r="L73" s="416"/>
      <c r="M73" s="416"/>
      <c r="N73" s="416"/>
      <c r="O73" s="416"/>
      <c r="P73" s="416"/>
      <c r="Q73" s="416"/>
      <c r="R73" s="416"/>
      <c r="S73" s="416"/>
      <c r="T73" s="416"/>
      <c r="U73" s="416"/>
      <c r="V73" s="416"/>
    </row>
    <row r="74" spans="1:38" hidden="1" x14ac:dyDescent="0.2">
      <c r="A74" s="415" t="s">
        <v>2</v>
      </c>
      <c r="B74" s="417">
        <v>1</v>
      </c>
      <c r="C74" s="417">
        <v>2</v>
      </c>
      <c r="D74" s="417">
        <v>3</v>
      </c>
      <c r="E74" s="417">
        <v>4</v>
      </c>
      <c r="F74" s="417">
        <v>5</v>
      </c>
      <c r="G74" s="417">
        <v>6</v>
      </c>
      <c r="H74" s="417">
        <v>7</v>
      </c>
      <c r="I74" s="417">
        <v>8</v>
      </c>
      <c r="J74" s="417">
        <v>9</v>
      </c>
      <c r="K74" s="417">
        <v>10</v>
      </c>
      <c r="L74" s="417">
        <v>11</v>
      </c>
      <c r="M74" s="417">
        <v>12</v>
      </c>
      <c r="N74" s="417">
        <v>13</v>
      </c>
      <c r="O74" s="417">
        <v>14</v>
      </c>
      <c r="P74" s="417">
        <v>15</v>
      </c>
      <c r="Q74" s="417">
        <v>16</v>
      </c>
      <c r="R74" s="417">
        <v>17</v>
      </c>
      <c r="S74" s="417">
        <v>18</v>
      </c>
      <c r="T74" s="417">
        <v>19</v>
      </c>
      <c r="U74" s="417">
        <v>20</v>
      </c>
      <c r="V74" s="417" t="s">
        <v>27</v>
      </c>
    </row>
    <row r="75" spans="1:38" hidden="1" x14ac:dyDescent="0.2">
      <c r="A75" s="418" t="s">
        <v>11</v>
      </c>
      <c r="B75" s="419">
        <v>2537</v>
      </c>
      <c r="C75" s="419">
        <v>2651</v>
      </c>
      <c r="D75" s="419">
        <v>2777</v>
      </c>
      <c r="E75" s="419">
        <v>2916</v>
      </c>
      <c r="F75" s="419">
        <v>3033</v>
      </c>
      <c r="G75" s="419">
        <v>3154</v>
      </c>
      <c r="H75" s="419">
        <v>3268</v>
      </c>
      <c r="I75" s="419">
        <v>3381</v>
      </c>
      <c r="J75" s="419">
        <v>3503</v>
      </c>
      <c r="K75" s="419">
        <v>3616</v>
      </c>
      <c r="L75" s="419">
        <v>3725</v>
      </c>
      <c r="M75" s="419">
        <v>3837</v>
      </c>
      <c r="N75" s="419">
        <v>4026</v>
      </c>
      <c r="O75" s="419"/>
      <c r="P75" s="419"/>
      <c r="Q75" s="419"/>
      <c r="R75" s="419"/>
      <c r="S75" s="419"/>
      <c r="T75" s="419"/>
      <c r="U75" s="419"/>
      <c r="V75" s="420">
        <f t="shared" ref="V75:V116" si="0">COUNTA(B75:U75)</f>
        <v>13</v>
      </c>
    </row>
    <row r="76" spans="1:38" hidden="1" x14ac:dyDescent="0.2">
      <c r="A76" s="418" t="s">
        <v>12</v>
      </c>
      <c r="B76" s="419">
        <v>2591</v>
      </c>
      <c r="C76" s="419">
        <v>2719</v>
      </c>
      <c r="D76" s="419">
        <v>2853</v>
      </c>
      <c r="E76" s="419">
        <v>2975</v>
      </c>
      <c r="F76" s="419">
        <v>3094</v>
      </c>
      <c r="G76" s="419">
        <v>3209</v>
      </c>
      <c r="H76" s="419">
        <v>3322</v>
      </c>
      <c r="I76" s="419">
        <v>3446</v>
      </c>
      <c r="J76" s="419">
        <v>3556</v>
      </c>
      <c r="K76" s="419">
        <v>3668</v>
      </c>
      <c r="L76" s="419">
        <v>3780</v>
      </c>
      <c r="M76" s="419">
        <v>3902</v>
      </c>
      <c r="N76" s="419">
        <v>4026</v>
      </c>
      <c r="O76" s="419">
        <v>4145</v>
      </c>
      <c r="P76" s="419">
        <v>4261</v>
      </c>
      <c r="Q76" s="419">
        <v>4375</v>
      </c>
      <c r="R76" s="419">
        <v>4488</v>
      </c>
      <c r="S76" s="419">
        <v>4546</v>
      </c>
      <c r="T76" s="419"/>
      <c r="U76" s="419"/>
      <c r="V76" s="420">
        <f t="shared" si="0"/>
        <v>18</v>
      </c>
    </row>
    <row r="77" spans="1:38" hidden="1" x14ac:dyDescent="0.2">
      <c r="A77" s="418" t="s">
        <v>13</v>
      </c>
      <c r="B77" s="419">
        <v>2719</v>
      </c>
      <c r="C77" s="419">
        <v>2853</v>
      </c>
      <c r="D77" s="419">
        <v>3094</v>
      </c>
      <c r="E77" s="419">
        <v>3322</v>
      </c>
      <c r="F77" s="419">
        <v>3446</v>
      </c>
      <c r="G77" s="419">
        <v>3556</v>
      </c>
      <c r="H77" s="419">
        <v>3668</v>
      </c>
      <c r="I77" s="419">
        <v>3780</v>
      </c>
      <c r="J77" s="419">
        <v>3902</v>
      </c>
      <c r="K77" s="419">
        <v>4026</v>
      </c>
      <c r="L77" s="419">
        <v>4145</v>
      </c>
      <c r="M77" s="419">
        <v>4261</v>
      </c>
      <c r="N77" s="419">
        <v>4375</v>
      </c>
      <c r="O77" s="419">
        <v>4488</v>
      </c>
      <c r="P77" s="419">
        <v>4607</v>
      </c>
      <c r="Q77" s="419">
        <v>4723</v>
      </c>
      <c r="R77" s="419">
        <v>4834</v>
      </c>
      <c r="S77" s="419">
        <v>4951</v>
      </c>
      <c r="T77" s="419">
        <v>5097</v>
      </c>
      <c r="U77" s="419">
        <v>5168</v>
      </c>
      <c r="V77" s="420">
        <f t="shared" si="0"/>
        <v>20</v>
      </c>
    </row>
    <row r="78" spans="1:38" hidden="1" x14ac:dyDescent="0.2">
      <c r="A78" s="418" t="s">
        <v>14</v>
      </c>
      <c r="B78" s="419">
        <v>2853</v>
      </c>
      <c r="C78" s="419">
        <v>3094</v>
      </c>
      <c r="D78" s="419">
        <v>3322</v>
      </c>
      <c r="E78" s="419">
        <v>3556</v>
      </c>
      <c r="F78" s="419">
        <v>3780</v>
      </c>
      <c r="G78" s="419">
        <v>4026</v>
      </c>
      <c r="H78" s="419">
        <v>4145</v>
      </c>
      <c r="I78" s="419">
        <v>4261</v>
      </c>
      <c r="J78" s="419">
        <v>4375</v>
      </c>
      <c r="K78" s="419">
        <v>4488</v>
      </c>
      <c r="L78" s="419">
        <v>4607</v>
      </c>
      <c r="M78" s="419">
        <v>4723</v>
      </c>
      <c r="N78" s="419">
        <v>4834</v>
      </c>
      <c r="O78" s="419">
        <v>4951</v>
      </c>
      <c r="P78" s="419">
        <v>5097</v>
      </c>
      <c r="Q78" s="419">
        <v>5240</v>
      </c>
      <c r="R78" s="419">
        <v>5386</v>
      </c>
      <c r="S78" s="419">
        <v>5438</v>
      </c>
      <c r="T78" s="419">
        <v>5601</v>
      </c>
      <c r="U78" s="419"/>
      <c r="V78" s="420">
        <f t="shared" si="0"/>
        <v>19</v>
      </c>
    </row>
    <row r="79" spans="1:38" hidden="1" x14ac:dyDescent="0.2">
      <c r="A79" s="418" t="s">
        <v>3</v>
      </c>
      <c r="B79" s="419">
        <v>2771</v>
      </c>
      <c r="C79" s="419">
        <v>2879</v>
      </c>
      <c r="D79" s="419">
        <v>2990</v>
      </c>
      <c r="E79" s="419">
        <v>3097</v>
      </c>
      <c r="F79" s="419">
        <v>3206</v>
      </c>
      <c r="G79" s="419">
        <v>3316</v>
      </c>
      <c r="H79" s="419">
        <v>3425</v>
      </c>
      <c r="I79" s="419">
        <v>3534</v>
      </c>
      <c r="J79" s="419">
        <v>3642</v>
      </c>
      <c r="K79" s="419">
        <v>3751</v>
      </c>
      <c r="L79" s="419">
        <v>3862</v>
      </c>
      <c r="M79" s="419">
        <v>3970</v>
      </c>
      <c r="N79" s="419">
        <v>4081</v>
      </c>
      <c r="O79" s="419"/>
      <c r="P79" s="419"/>
      <c r="Q79" s="419"/>
      <c r="R79" s="419"/>
      <c r="S79" s="419"/>
      <c r="T79" s="421"/>
      <c r="U79" s="421"/>
      <c r="V79" s="420">
        <f t="shared" si="0"/>
        <v>13</v>
      </c>
    </row>
    <row r="80" spans="1:38" hidden="1" x14ac:dyDescent="0.2">
      <c r="A80" s="418" t="s">
        <v>4</v>
      </c>
      <c r="B80" s="419">
        <v>2879</v>
      </c>
      <c r="C80" s="419">
        <v>3097</v>
      </c>
      <c r="D80" s="419">
        <v>3316</v>
      </c>
      <c r="E80" s="419">
        <v>3425</v>
      </c>
      <c r="F80" s="419">
        <v>3534</v>
      </c>
      <c r="G80" s="419">
        <v>3642</v>
      </c>
      <c r="H80" s="419">
        <v>3751</v>
      </c>
      <c r="I80" s="419">
        <v>3862</v>
      </c>
      <c r="J80" s="419">
        <v>3970</v>
      </c>
      <c r="K80" s="419">
        <v>4081</v>
      </c>
      <c r="L80" s="419">
        <v>4191</v>
      </c>
      <c r="M80" s="419">
        <v>4298</v>
      </c>
      <c r="N80" s="419">
        <v>4408</v>
      </c>
      <c r="O80" s="419">
        <v>4515</v>
      </c>
      <c r="P80" s="419">
        <v>4627</v>
      </c>
      <c r="Q80" s="419"/>
      <c r="R80" s="419"/>
      <c r="S80" s="419"/>
      <c r="T80" s="421"/>
      <c r="U80" s="421"/>
      <c r="V80" s="420">
        <f t="shared" si="0"/>
        <v>15</v>
      </c>
    </row>
    <row r="81" spans="1:22" hidden="1" x14ac:dyDescent="0.2">
      <c r="A81" s="418" t="s">
        <v>5</v>
      </c>
      <c r="B81" s="419">
        <v>2879</v>
      </c>
      <c r="C81" s="419">
        <v>3097</v>
      </c>
      <c r="D81" s="419">
        <v>3316</v>
      </c>
      <c r="E81" s="419">
        <v>3425</v>
      </c>
      <c r="F81" s="419">
        <v>3534</v>
      </c>
      <c r="G81" s="419">
        <v>3642</v>
      </c>
      <c r="H81" s="419">
        <v>3751</v>
      </c>
      <c r="I81" s="419">
        <v>3862</v>
      </c>
      <c r="J81" s="419">
        <v>3970</v>
      </c>
      <c r="K81" s="419">
        <v>4081</v>
      </c>
      <c r="L81" s="419">
        <v>4191</v>
      </c>
      <c r="M81" s="419">
        <v>4298</v>
      </c>
      <c r="N81" s="419">
        <v>4408</v>
      </c>
      <c r="O81" s="419">
        <v>4515</v>
      </c>
      <c r="P81" s="419">
        <v>4627</v>
      </c>
      <c r="Q81" s="419">
        <v>4735</v>
      </c>
      <c r="R81" s="419">
        <v>4845</v>
      </c>
      <c r="S81" s="419"/>
      <c r="T81" s="421"/>
      <c r="U81" s="421"/>
      <c r="V81" s="420">
        <f t="shared" si="0"/>
        <v>17</v>
      </c>
    </row>
    <row r="82" spans="1:22" hidden="1" x14ac:dyDescent="0.2">
      <c r="A82" s="418" t="s">
        <v>6</v>
      </c>
      <c r="B82" s="419">
        <v>2990</v>
      </c>
      <c r="C82" s="419">
        <v>3316</v>
      </c>
      <c r="D82" s="419">
        <v>3534</v>
      </c>
      <c r="E82" s="419">
        <v>3751</v>
      </c>
      <c r="F82" s="419">
        <v>3970</v>
      </c>
      <c r="G82" s="419">
        <v>4081</v>
      </c>
      <c r="H82" s="419">
        <v>4191</v>
      </c>
      <c r="I82" s="419">
        <v>4298</v>
      </c>
      <c r="J82" s="419">
        <v>4408</v>
      </c>
      <c r="K82" s="419">
        <v>4515</v>
      </c>
      <c r="L82" s="419">
        <v>4627</v>
      </c>
      <c r="M82" s="419">
        <v>4735</v>
      </c>
      <c r="N82" s="419">
        <v>4845</v>
      </c>
      <c r="O82" s="419">
        <v>4952</v>
      </c>
      <c r="P82" s="419">
        <v>5062</v>
      </c>
      <c r="Q82" s="419">
        <v>5172</v>
      </c>
      <c r="R82" s="419"/>
      <c r="S82" s="419"/>
      <c r="T82" s="421"/>
      <c r="U82" s="421"/>
      <c r="V82" s="420">
        <f t="shared" si="0"/>
        <v>16</v>
      </c>
    </row>
    <row r="83" spans="1:22" hidden="1" x14ac:dyDescent="0.2">
      <c r="A83" s="418" t="s">
        <v>7</v>
      </c>
      <c r="B83" s="419">
        <v>2990</v>
      </c>
      <c r="C83" s="419">
        <v>3316</v>
      </c>
      <c r="D83" s="419">
        <v>3534</v>
      </c>
      <c r="E83" s="419">
        <v>3751</v>
      </c>
      <c r="F83" s="419">
        <v>3970</v>
      </c>
      <c r="G83" s="419">
        <v>4081</v>
      </c>
      <c r="H83" s="419">
        <v>4191</v>
      </c>
      <c r="I83" s="419">
        <v>4298</v>
      </c>
      <c r="J83" s="419">
        <v>4408</v>
      </c>
      <c r="K83" s="419">
        <v>4515</v>
      </c>
      <c r="L83" s="419">
        <v>4627</v>
      </c>
      <c r="M83" s="419">
        <v>4735</v>
      </c>
      <c r="N83" s="419">
        <v>4845</v>
      </c>
      <c r="O83" s="419">
        <v>4952</v>
      </c>
      <c r="P83" s="419">
        <v>5062</v>
      </c>
      <c r="Q83" s="419">
        <v>5172</v>
      </c>
      <c r="R83" s="419">
        <v>5281</v>
      </c>
      <c r="S83" s="419">
        <v>5389</v>
      </c>
      <c r="T83" s="421"/>
      <c r="U83" s="421"/>
      <c r="V83" s="420">
        <f t="shared" si="0"/>
        <v>18</v>
      </c>
    </row>
    <row r="84" spans="1:22" hidden="1" x14ac:dyDescent="0.2">
      <c r="A84" s="418" t="s">
        <v>8</v>
      </c>
      <c r="B84" s="419">
        <v>3035</v>
      </c>
      <c r="C84" s="419">
        <v>3262</v>
      </c>
      <c r="D84" s="419">
        <v>3494</v>
      </c>
      <c r="E84" s="419">
        <v>3716</v>
      </c>
      <c r="F84" s="419">
        <v>3962</v>
      </c>
      <c r="G84" s="419">
        <v>4081</v>
      </c>
      <c r="H84" s="419">
        <v>4195</v>
      </c>
      <c r="I84" s="419">
        <v>4311</v>
      </c>
      <c r="J84" s="419">
        <v>4421</v>
      </c>
      <c r="K84" s="419">
        <v>4540</v>
      </c>
      <c r="L84" s="419">
        <v>4655</v>
      </c>
      <c r="M84" s="419">
        <v>4767</v>
      </c>
      <c r="N84" s="419">
        <v>4882</v>
      </c>
      <c r="O84" s="419">
        <v>5027</v>
      </c>
      <c r="P84" s="419">
        <v>5171</v>
      </c>
      <c r="Q84" s="419">
        <v>5315</v>
      </c>
      <c r="R84" s="419">
        <v>5459</v>
      </c>
      <c r="S84" s="419">
        <v>5529</v>
      </c>
      <c r="T84" s="421"/>
      <c r="U84" s="421"/>
      <c r="V84" s="420">
        <f t="shared" si="0"/>
        <v>18</v>
      </c>
    </row>
    <row r="85" spans="1:22" hidden="1" x14ac:dyDescent="0.2">
      <c r="A85" s="418" t="s">
        <v>9</v>
      </c>
      <c r="B85" s="419">
        <v>3149</v>
      </c>
      <c r="C85" s="419">
        <v>3384</v>
      </c>
      <c r="D85" s="419">
        <v>3606</v>
      </c>
      <c r="E85" s="419">
        <v>3838</v>
      </c>
      <c r="F85" s="419">
        <v>4081</v>
      </c>
      <c r="G85" s="419">
        <v>4311</v>
      </c>
      <c r="H85" s="419">
        <v>4540</v>
      </c>
      <c r="I85" s="419">
        <v>4655</v>
      </c>
      <c r="J85" s="419">
        <v>4767</v>
      </c>
      <c r="K85" s="419">
        <v>4882</v>
      </c>
      <c r="L85" s="419">
        <v>5027</v>
      </c>
      <c r="M85" s="419">
        <v>5171</v>
      </c>
      <c r="N85" s="419">
        <v>5315</v>
      </c>
      <c r="O85" s="419">
        <v>5459</v>
      </c>
      <c r="P85" s="419">
        <v>5605</v>
      </c>
      <c r="Q85" s="419">
        <v>5758</v>
      </c>
      <c r="R85" s="419">
        <v>5915</v>
      </c>
      <c r="S85" s="419">
        <v>6076</v>
      </c>
      <c r="T85" s="421"/>
      <c r="U85" s="421"/>
      <c r="V85" s="420">
        <f t="shared" si="0"/>
        <v>18</v>
      </c>
    </row>
    <row r="86" spans="1:22" hidden="1" x14ac:dyDescent="0.2">
      <c r="A86" s="422" t="s">
        <v>68</v>
      </c>
      <c r="B86" s="421">
        <v>1578</v>
      </c>
      <c r="C86" s="421">
        <v>1578</v>
      </c>
      <c r="D86" s="421">
        <v>1636</v>
      </c>
      <c r="E86" s="421">
        <v>1666</v>
      </c>
      <c r="F86" s="421">
        <v>1700</v>
      </c>
      <c r="G86" s="421">
        <v>1735</v>
      </c>
      <c r="H86" s="421">
        <v>1780</v>
      </c>
      <c r="I86" s="421"/>
      <c r="J86" s="423"/>
      <c r="K86" s="423"/>
      <c r="L86" s="423"/>
      <c r="M86" s="423"/>
      <c r="N86" s="423"/>
      <c r="O86" s="423"/>
      <c r="P86" s="423"/>
      <c r="Q86" s="423"/>
      <c r="R86" s="423"/>
      <c r="S86" s="423"/>
      <c r="T86" s="423"/>
      <c r="U86" s="421"/>
      <c r="V86" s="420">
        <f t="shared" si="0"/>
        <v>7</v>
      </c>
    </row>
    <row r="87" spans="1:22" hidden="1" x14ac:dyDescent="0.2">
      <c r="A87" s="416" t="s">
        <v>69</v>
      </c>
      <c r="B87" s="421">
        <v>1578</v>
      </c>
      <c r="C87" s="421">
        <v>1604</v>
      </c>
      <c r="D87" s="421">
        <v>1666</v>
      </c>
      <c r="E87" s="421">
        <v>1735</v>
      </c>
      <c r="F87" s="421">
        <v>1780</v>
      </c>
      <c r="G87" s="421">
        <v>1833</v>
      </c>
      <c r="H87" s="421">
        <v>1896</v>
      </c>
      <c r="I87" s="421">
        <v>1957</v>
      </c>
      <c r="J87" s="423"/>
      <c r="K87" s="423"/>
      <c r="L87" s="423"/>
      <c r="M87" s="423"/>
      <c r="N87" s="423"/>
      <c r="O87" s="423"/>
      <c r="P87" s="423"/>
      <c r="Q87" s="423"/>
      <c r="R87" s="423"/>
      <c r="S87" s="423"/>
      <c r="T87" s="423"/>
      <c r="U87" s="421"/>
      <c r="V87" s="420">
        <f t="shared" si="0"/>
        <v>8</v>
      </c>
    </row>
    <row r="88" spans="1:22" hidden="1" x14ac:dyDescent="0.2">
      <c r="A88" s="416" t="s">
        <v>70</v>
      </c>
      <c r="B88" s="421">
        <v>1578</v>
      </c>
      <c r="C88" s="421">
        <v>1666</v>
      </c>
      <c r="D88" s="421">
        <v>1735</v>
      </c>
      <c r="E88" s="421">
        <v>1833</v>
      </c>
      <c r="F88" s="421">
        <v>1896</v>
      </c>
      <c r="G88" s="421">
        <v>1957</v>
      </c>
      <c r="H88" s="421">
        <v>2017</v>
      </c>
      <c r="I88" s="421"/>
      <c r="J88" s="423"/>
      <c r="K88" s="423"/>
      <c r="L88" s="423"/>
      <c r="M88" s="423"/>
      <c r="N88" s="423"/>
      <c r="O88" s="423"/>
      <c r="P88" s="423"/>
      <c r="Q88" s="423"/>
      <c r="R88" s="423"/>
      <c r="S88" s="423"/>
      <c r="T88" s="423"/>
      <c r="U88" s="421"/>
      <c r="V88" s="420">
        <f t="shared" si="0"/>
        <v>7</v>
      </c>
    </row>
    <row r="89" spans="1:22" hidden="1" x14ac:dyDescent="0.2">
      <c r="A89" s="418" t="s">
        <v>314</v>
      </c>
      <c r="B89" s="419">
        <v>2436</v>
      </c>
      <c r="C89" s="419">
        <v>2485</v>
      </c>
      <c r="D89" s="419">
        <v>2539</v>
      </c>
      <c r="E89" s="419">
        <v>2593</v>
      </c>
      <c r="F89" s="419">
        <v>2647</v>
      </c>
      <c r="G89" s="419">
        <v>2710</v>
      </c>
      <c r="H89" s="419">
        <v>2776</v>
      </c>
      <c r="I89" s="419">
        <v>2847</v>
      </c>
      <c r="J89" s="419">
        <v>2927</v>
      </c>
      <c r="K89" s="419">
        <v>3009</v>
      </c>
      <c r="L89" s="419">
        <v>3099</v>
      </c>
      <c r="M89" s="419">
        <v>3194</v>
      </c>
      <c r="N89" s="419">
        <v>3296</v>
      </c>
      <c r="O89" s="419">
        <v>3401</v>
      </c>
      <c r="P89" s="419">
        <v>3482</v>
      </c>
      <c r="Q89" s="423"/>
      <c r="R89" s="423"/>
      <c r="S89" s="423"/>
      <c r="T89" s="423"/>
      <c r="U89" s="421"/>
      <c r="V89" s="420">
        <f t="shared" si="0"/>
        <v>15</v>
      </c>
    </row>
    <row r="90" spans="1:22" hidden="1" x14ac:dyDescent="0.2">
      <c r="A90" s="418" t="s">
        <v>315</v>
      </c>
      <c r="B90" s="419">
        <v>2525</v>
      </c>
      <c r="C90" s="419">
        <v>2586</v>
      </c>
      <c r="D90" s="419">
        <v>2655</v>
      </c>
      <c r="E90" s="419">
        <v>2722</v>
      </c>
      <c r="F90" s="419">
        <v>2789</v>
      </c>
      <c r="G90" s="419">
        <v>2865</v>
      </c>
      <c r="H90" s="419">
        <v>2947</v>
      </c>
      <c r="I90" s="419">
        <v>3037</v>
      </c>
      <c r="J90" s="419">
        <v>3141</v>
      </c>
      <c r="K90" s="419">
        <v>3246</v>
      </c>
      <c r="L90" s="419">
        <v>3360</v>
      </c>
      <c r="M90" s="419">
        <v>3477</v>
      </c>
      <c r="N90" s="419">
        <v>3599</v>
      </c>
      <c r="O90" s="419">
        <v>3727</v>
      </c>
      <c r="P90" s="419">
        <v>3826</v>
      </c>
      <c r="Q90" s="423"/>
      <c r="R90" s="423"/>
      <c r="S90" s="423"/>
      <c r="T90" s="423"/>
      <c r="U90" s="421"/>
      <c r="V90" s="420">
        <f t="shared" si="0"/>
        <v>15</v>
      </c>
    </row>
    <row r="91" spans="1:22" hidden="1" x14ac:dyDescent="0.2">
      <c r="A91" s="418" t="s">
        <v>316</v>
      </c>
      <c r="B91" s="419">
        <v>2539</v>
      </c>
      <c r="C91" s="419">
        <v>2662</v>
      </c>
      <c r="D91" s="419">
        <v>2788</v>
      </c>
      <c r="E91" s="419">
        <v>2915</v>
      </c>
      <c r="F91" s="419">
        <v>3041</v>
      </c>
      <c r="G91" s="419">
        <v>3171</v>
      </c>
      <c r="H91" s="419">
        <v>3304</v>
      </c>
      <c r="I91" s="419">
        <v>3440</v>
      </c>
      <c r="J91" s="419">
        <v>3582</v>
      </c>
      <c r="K91" s="419">
        <v>3728</v>
      </c>
      <c r="L91" s="419">
        <v>3874</v>
      </c>
      <c r="M91" s="419">
        <v>4027</v>
      </c>
      <c r="N91" s="419">
        <v>4183</v>
      </c>
      <c r="O91" s="419">
        <v>4342</v>
      </c>
      <c r="P91" s="419">
        <v>4464</v>
      </c>
      <c r="Q91" s="423"/>
      <c r="R91" s="423"/>
      <c r="S91" s="423"/>
      <c r="T91" s="423"/>
      <c r="U91" s="421"/>
      <c r="V91" s="420">
        <f t="shared" si="0"/>
        <v>15</v>
      </c>
    </row>
    <row r="92" spans="1:22" hidden="1" x14ac:dyDescent="0.2">
      <c r="A92" s="418" t="s">
        <v>317</v>
      </c>
      <c r="B92" s="419">
        <v>2548</v>
      </c>
      <c r="C92" s="419">
        <v>2702</v>
      </c>
      <c r="D92" s="419">
        <v>2859</v>
      </c>
      <c r="E92" s="419">
        <v>3018</v>
      </c>
      <c r="F92" s="419">
        <v>3178</v>
      </c>
      <c r="G92" s="419">
        <v>3345</v>
      </c>
      <c r="H92" s="419">
        <v>3518</v>
      </c>
      <c r="I92" s="419">
        <v>3694</v>
      </c>
      <c r="J92" s="419">
        <v>3879</v>
      </c>
      <c r="K92" s="419">
        <v>4071</v>
      </c>
      <c r="L92" s="419">
        <v>4269</v>
      </c>
      <c r="M92" s="419">
        <v>4473</v>
      </c>
      <c r="N92" s="419">
        <v>4685</v>
      </c>
      <c r="O92" s="419">
        <v>4902</v>
      </c>
      <c r="P92" s="419">
        <v>5079</v>
      </c>
      <c r="Q92" s="423"/>
      <c r="R92" s="423"/>
      <c r="S92" s="423"/>
      <c r="T92" s="423"/>
      <c r="U92" s="421"/>
      <c r="V92" s="420">
        <f t="shared" si="0"/>
        <v>15</v>
      </c>
    </row>
    <row r="93" spans="1:22" hidden="1" x14ac:dyDescent="0.2">
      <c r="A93" s="418" t="s">
        <v>318</v>
      </c>
      <c r="B93" s="419">
        <v>3279</v>
      </c>
      <c r="C93" s="419">
        <v>3403</v>
      </c>
      <c r="D93" s="419">
        <v>3514</v>
      </c>
      <c r="E93" s="419">
        <v>3737</v>
      </c>
      <c r="F93" s="419">
        <v>3984</v>
      </c>
      <c r="G93" s="419">
        <v>4139</v>
      </c>
      <c r="H93" s="419">
        <v>4297</v>
      </c>
      <c r="I93" s="419">
        <v>4454</v>
      </c>
      <c r="J93" s="419">
        <v>4612</v>
      </c>
      <c r="K93" s="419">
        <v>4768</v>
      </c>
      <c r="L93" s="419">
        <v>4927</v>
      </c>
      <c r="M93" s="419">
        <v>5085</v>
      </c>
      <c r="N93" s="419">
        <v>5243</v>
      </c>
      <c r="O93" s="419">
        <v>5400</v>
      </c>
      <c r="P93" s="419">
        <v>5507</v>
      </c>
      <c r="Q93" s="423"/>
      <c r="R93" s="423"/>
      <c r="S93" s="423"/>
      <c r="T93" s="423"/>
      <c r="U93" s="421"/>
      <c r="V93" s="420">
        <f t="shared" si="0"/>
        <v>15</v>
      </c>
    </row>
    <row r="94" spans="1:22" hidden="1" x14ac:dyDescent="0.2">
      <c r="A94" s="416" t="s">
        <v>19</v>
      </c>
      <c r="B94" s="421">
        <v>1218</v>
      </c>
      <c r="C94" s="424"/>
      <c r="D94" s="424"/>
      <c r="E94" s="424"/>
      <c r="F94" s="424"/>
      <c r="G94" s="424"/>
      <c r="H94" s="424"/>
      <c r="I94" s="424"/>
      <c r="J94" s="424"/>
      <c r="K94" s="424"/>
      <c r="L94" s="424"/>
      <c r="M94" s="424"/>
      <c r="N94" s="424"/>
      <c r="O94" s="424"/>
      <c r="P94" s="424"/>
      <c r="Q94" s="423"/>
      <c r="R94" s="425"/>
      <c r="S94" s="425"/>
      <c r="T94" s="425"/>
      <c r="U94" s="424"/>
      <c r="V94" s="420">
        <f t="shared" si="0"/>
        <v>1</v>
      </c>
    </row>
    <row r="95" spans="1:22" hidden="1" x14ac:dyDescent="0.2">
      <c r="A95" s="416" t="s">
        <v>20</v>
      </c>
      <c r="B95" s="421">
        <v>1262.5</v>
      </c>
      <c r="C95" s="424"/>
      <c r="D95" s="424"/>
      <c r="E95" s="424"/>
      <c r="F95" s="424"/>
      <c r="G95" s="424"/>
      <c r="H95" s="424"/>
      <c r="I95" s="424"/>
      <c r="J95" s="424"/>
      <c r="K95" s="424"/>
      <c r="L95" s="424"/>
      <c r="M95" s="424"/>
      <c r="N95" s="424"/>
      <c r="O95" s="424"/>
      <c r="P95" s="424"/>
      <c r="Q95" s="423"/>
      <c r="R95" s="425"/>
      <c r="S95" s="425"/>
      <c r="T95" s="425"/>
      <c r="U95" s="424"/>
      <c r="V95" s="420">
        <f t="shared" si="0"/>
        <v>1</v>
      </c>
    </row>
    <row r="96" spans="1:22" hidden="1" x14ac:dyDescent="0.2">
      <c r="A96" s="426" t="s">
        <v>67</v>
      </c>
      <c r="B96" s="419">
        <v>2771</v>
      </c>
      <c r="C96" s="419">
        <v>2879</v>
      </c>
      <c r="D96" s="419">
        <v>2990</v>
      </c>
      <c r="E96" s="419">
        <v>3097</v>
      </c>
      <c r="F96" s="419">
        <v>3206</v>
      </c>
      <c r="G96" s="419">
        <v>3316</v>
      </c>
      <c r="H96" s="419">
        <v>3425</v>
      </c>
      <c r="I96" s="419">
        <v>3534</v>
      </c>
      <c r="J96" s="419">
        <v>3642</v>
      </c>
      <c r="K96" s="419">
        <v>3751</v>
      </c>
      <c r="L96" s="419">
        <v>3862</v>
      </c>
      <c r="M96" s="419"/>
      <c r="N96" s="419"/>
      <c r="O96" s="419"/>
      <c r="P96" s="419"/>
      <c r="Q96" s="423"/>
      <c r="R96" s="423"/>
      <c r="S96" s="423"/>
      <c r="T96" s="423"/>
      <c r="U96" s="421"/>
      <c r="V96" s="420">
        <f t="shared" si="0"/>
        <v>11</v>
      </c>
    </row>
    <row r="97" spans="1:22" hidden="1" x14ac:dyDescent="0.2">
      <c r="A97" s="426" t="s">
        <v>63</v>
      </c>
      <c r="B97" s="419">
        <v>2879</v>
      </c>
      <c r="C97" s="419">
        <v>3097</v>
      </c>
      <c r="D97" s="419">
        <v>3316</v>
      </c>
      <c r="E97" s="419">
        <v>3425</v>
      </c>
      <c r="F97" s="419">
        <v>3534</v>
      </c>
      <c r="G97" s="419">
        <v>3642</v>
      </c>
      <c r="H97" s="419">
        <v>3751</v>
      </c>
      <c r="I97" s="419">
        <v>3862</v>
      </c>
      <c r="J97" s="419">
        <v>3970</v>
      </c>
      <c r="K97" s="419">
        <v>4081</v>
      </c>
      <c r="L97" s="419"/>
      <c r="M97" s="419"/>
      <c r="N97" s="419"/>
      <c r="O97" s="419"/>
      <c r="P97" s="419"/>
      <c r="Q97" s="423"/>
      <c r="R97" s="423"/>
      <c r="S97" s="423"/>
      <c r="T97" s="423"/>
      <c r="U97" s="421"/>
      <c r="V97" s="420">
        <f t="shared" si="0"/>
        <v>10</v>
      </c>
    </row>
    <row r="98" spans="1:22" hidden="1" x14ac:dyDescent="0.2">
      <c r="A98" s="426" t="s">
        <v>64</v>
      </c>
      <c r="B98" s="419">
        <v>2879</v>
      </c>
      <c r="C98" s="419">
        <v>3097</v>
      </c>
      <c r="D98" s="419">
        <v>3316</v>
      </c>
      <c r="E98" s="419">
        <v>3424</v>
      </c>
      <c r="F98" s="419">
        <v>3534</v>
      </c>
      <c r="G98" s="419">
        <v>3641</v>
      </c>
      <c r="H98" s="419">
        <v>3751</v>
      </c>
      <c r="I98" s="419">
        <v>3862</v>
      </c>
      <c r="J98" s="419">
        <v>3970</v>
      </c>
      <c r="K98" s="419">
        <v>4081</v>
      </c>
      <c r="L98" s="419">
        <v>4191</v>
      </c>
      <c r="M98" s="419"/>
      <c r="N98" s="419"/>
      <c r="O98" s="419"/>
      <c r="P98" s="419"/>
      <c r="Q98" s="423"/>
      <c r="R98" s="423"/>
      <c r="S98" s="423"/>
      <c r="T98" s="423"/>
      <c r="U98" s="421"/>
      <c r="V98" s="420">
        <f t="shared" si="0"/>
        <v>11</v>
      </c>
    </row>
    <row r="99" spans="1:22" hidden="1" x14ac:dyDescent="0.2">
      <c r="A99" s="426" t="s">
        <v>65</v>
      </c>
      <c r="B99" s="419">
        <v>2990</v>
      </c>
      <c r="C99" s="419">
        <v>3316</v>
      </c>
      <c r="D99" s="419">
        <v>3534</v>
      </c>
      <c r="E99" s="419">
        <v>3751</v>
      </c>
      <c r="F99" s="419">
        <v>3970</v>
      </c>
      <c r="G99" s="419">
        <v>4081</v>
      </c>
      <c r="H99" s="419">
        <v>4191</v>
      </c>
      <c r="I99" s="419">
        <v>4298</v>
      </c>
      <c r="J99" s="419">
        <v>4408</v>
      </c>
      <c r="K99" s="419">
        <v>4515</v>
      </c>
      <c r="L99" s="419">
        <v>4627</v>
      </c>
      <c r="M99" s="419">
        <v>4735</v>
      </c>
      <c r="N99" s="419">
        <v>4845</v>
      </c>
      <c r="O99" s="419"/>
      <c r="P99" s="419"/>
      <c r="Q99" s="423"/>
      <c r="R99" s="423"/>
      <c r="S99" s="423"/>
      <c r="T99" s="423"/>
      <c r="U99" s="421"/>
      <c r="V99" s="420">
        <f t="shared" si="0"/>
        <v>13</v>
      </c>
    </row>
    <row r="100" spans="1:22" hidden="1" x14ac:dyDescent="0.2">
      <c r="A100" s="426" t="s">
        <v>66</v>
      </c>
      <c r="B100" s="421">
        <v>2990</v>
      </c>
      <c r="C100" s="419">
        <v>3316</v>
      </c>
      <c r="D100" s="419">
        <v>3534</v>
      </c>
      <c r="E100" s="419">
        <v>3751</v>
      </c>
      <c r="F100" s="419">
        <v>3970</v>
      </c>
      <c r="G100" s="419">
        <v>4081</v>
      </c>
      <c r="H100" s="419">
        <v>4191</v>
      </c>
      <c r="I100" s="419">
        <v>4298</v>
      </c>
      <c r="J100" s="419">
        <v>4408</v>
      </c>
      <c r="K100" s="419">
        <v>4515</v>
      </c>
      <c r="L100" s="419">
        <v>4627</v>
      </c>
      <c r="M100" s="419">
        <v>4735</v>
      </c>
      <c r="N100" s="419">
        <v>4845</v>
      </c>
      <c r="O100" s="419">
        <v>4952</v>
      </c>
      <c r="P100" s="419">
        <v>5062</v>
      </c>
      <c r="Q100" s="423"/>
      <c r="R100" s="423"/>
      <c r="S100" s="423"/>
      <c r="T100" s="423"/>
      <c r="U100" s="421"/>
      <c r="V100" s="420">
        <f t="shared" si="0"/>
        <v>15</v>
      </c>
    </row>
    <row r="101" spans="1:22" hidden="1" x14ac:dyDescent="0.2">
      <c r="A101" s="416">
        <v>1</v>
      </c>
      <c r="B101" s="421">
        <v>1578</v>
      </c>
      <c r="C101" s="421">
        <v>1578</v>
      </c>
      <c r="D101" s="419">
        <v>1636</v>
      </c>
      <c r="E101" s="419">
        <v>1666</v>
      </c>
      <c r="F101" s="419">
        <v>1700</v>
      </c>
      <c r="G101" s="419">
        <v>1735</v>
      </c>
      <c r="H101" s="419">
        <v>1780</v>
      </c>
      <c r="I101" s="419"/>
      <c r="J101" s="419"/>
      <c r="K101" s="419"/>
      <c r="L101" s="419"/>
      <c r="M101" s="419"/>
      <c r="N101" s="419"/>
      <c r="O101" s="419"/>
      <c r="P101" s="419"/>
      <c r="Q101" s="419"/>
      <c r="R101" s="419"/>
      <c r="S101" s="419"/>
      <c r="T101" s="423"/>
      <c r="U101" s="421"/>
      <c r="V101" s="420">
        <f t="shared" si="0"/>
        <v>7</v>
      </c>
    </row>
    <row r="102" spans="1:22" hidden="1" x14ac:dyDescent="0.2">
      <c r="A102" s="416">
        <v>2</v>
      </c>
      <c r="B102" s="421">
        <v>1578</v>
      </c>
      <c r="C102" s="419">
        <v>1604</v>
      </c>
      <c r="D102" s="419">
        <v>1666</v>
      </c>
      <c r="E102" s="419">
        <v>1735</v>
      </c>
      <c r="F102" s="419">
        <v>1780</v>
      </c>
      <c r="G102" s="419">
        <v>1833</v>
      </c>
      <c r="H102" s="419">
        <v>1896</v>
      </c>
      <c r="I102" s="419">
        <v>1957</v>
      </c>
      <c r="J102" s="419"/>
      <c r="K102" s="419"/>
      <c r="L102" s="419"/>
      <c r="M102" s="419"/>
      <c r="N102" s="419"/>
      <c r="O102" s="419"/>
      <c r="P102" s="419"/>
      <c r="Q102" s="419"/>
      <c r="R102" s="419"/>
      <c r="S102" s="419"/>
      <c r="T102" s="423"/>
      <c r="U102" s="421"/>
      <c r="V102" s="420">
        <f t="shared" si="0"/>
        <v>8</v>
      </c>
    </row>
    <row r="103" spans="1:22" hidden="1" x14ac:dyDescent="0.2">
      <c r="A103" s="416">
        <v>3</v>
      </c>
      <c r="B103" s="421">
        <v>1578</v>
      </c>
      <c r="C103" s="419">
        <v>1666</v>
      </c>
      <c r="D103" s="419">
        <v>1735</v>
      </c>
      <c r="E103" s="419">
        <v>1833</v>
      </c>
      <c r="F103" s="419">
        <v>1896</v>
      </c>
      <c r="G103" s="419">
        <v>1957</v>
      </c>
      <c r="H103" s="419">
        <v>2017</v>
      </c>
      <c r="I103" s="419">
        <v>2074</v>
      </c>
      <c r="J103" s="419">
        <v>2131</v>
      </c>
      <c r="K103" s="419"/>
      <c r="L103" s="419"/>
      <c r="M103" s="419"/>
      <c r="N103" s="419"/>
      <c r="O103" s="419"/>
      <c r="P103" s="419"/>
      <c r="Q103" s="419"/>
      <c r="R103" s="419"/>
      <c r="S103" s="419"/>
      <c r="T103" s="423"/>
      <c r="U103" s="421"/>
      <c r="V103" s="420">
        <f t="shared" si="0"/>
        <v>9</v>
      </c>
    </row>
    <row r="104" spans="1:22" hidden="1" x14ac:dyDescent="0.2">
      <c r="A104" s="416">
        <v>4</v>
      </c>
      <c r="B104" s="421">
        <v>1578</v>
      </c>
      <c r="C104" s="419">
        <v>1636</v>
      </c>
      <c r="D104" s="419">
        <v>1700</v>
      </c>
      <c r="E104" s="419">
        <v>1780</v>
      </c>
      <c r="F104" s="419">
        <v>1896</v>
      </c>
      <c r="G104" s="419">
        <v>1957</v>
      </c>
      <c r="H104" s="419">
        <v>2017</v>
      </c>
      <c r="I104" s="419">
        <v>2074</v>
      </c>
      <c r="J104" s="419">
        <v>2131</v>
      </c>
      <c r="K104" s="419">
        <v>2187</v>
      </c>
      <c r="L104" s="419">
        <v>2242</v>
      </c>
      <c r="M104" s="419"/>
      <c r="N104" s="419"/>
      <c r="O104" s="419"/>
      <c r="P104" s="419"/>
      <c r="Q104" s="419"/>
      <c r="R104" s="419"/>
      <c r="S104" s="419"/>
      <c r="T104" s="423"/>
      <c r="U104" s="421"/>
      <c r="V104" s="420">
        <f t="shared" si="0"/>
        <v>11</v>
      </c>
    </row>
    <row r="105" spans="1:22" hidden="1" x14ac:dyDescent="0.2">
      <c r="A105" s="416">
        <v>5</v>
      </c>
      <c r="B105" s="419">
        <v>1604</v>
      </c>
      <c r="C105" s="419">
        <v>1636</v>
      </c>
      <c r="D105" s="419">
        <v>1735</v>
      </c>
      <c r="E105" s="419">
        <v>1833</v>
      </c>
      <c r="F105" s="419">
        <v>1957</v>
      </c>
      <c r="G105" s="419">
        <v>2017</v>
      </c>
      <c r="H105" s="419">
        <v>2074</v>
      </c>
      <c r="I105" s="419">
        <v>2131</v>
      </c>
      <c r="J105" s="419">
        <v>2187</v>
      </c>
      <c r="K105" s="419">
        <v>2242</v>
      </c>
      <c r="L105" s="419">
        <v>2295</v>
      </c>
      <c r="M105" s="419">
        <v>2357</v>
      </c>
      <c r="N105" s="419"/>
      <c r="O105" s="419"/>
      <c r="P105" s="419"/>
      <c r="Q105" s="419"/>
      <c r="R105" s="419"/>
      <c r="S105" s="419"/>
      <c r="T105" s="423"/>
      <c r="U105" s="421"/>
      <c r="V105" s="420">
        <f t="shared" si="0"/>
        <v>12</v>
      </c>
    </row>
    <row r="106" spans="1:22" hidden="1" x14ac:dyDescent="0.2">
      <c r="A106" s="416">
        <v>6</v>
      </c>
      <c r="B106" s="419">
        <v>1666</v>
      </c>
      <c r="C106" s="419">
        <v>1735</v>
      </c>
      <c r="D106" s="419">
        <v>1957</v>
      </c>
      <c r="E106" s="419">
        <v>2074</v>
      </c>
      <c r="F106" s="419">
        <v>2131</v>
      </c>
      <c r="G106" s="419">
        <v>2187</v>
      </c>
      <c r="H106" s="419">
        <v>2242</v>
      </c>
      <c r="I106" s="419">
        <v>2295</v>
      </c>
      <c r="J106" s="419">
        <v>2357</v>
      </c>
      <c r="K106" s="419">
        <v>2414</v>
      </c>
      <c r="L106" s="419">
        <v>2470</v>
      </c>
      <c r="M106" s="419"/>
      <c r="N106" s="419"/>
      <c r="O106" s="419"/>
      <c r="P106" s="419"/>
      <c r="Q106" s="419"/>
      <c r="R106" s="419"/>
      <c r="S106" s="419"/>
      <c r="T106" s="423"/>
      <c r="U106" s="421"/>
      <c r="V106" s="420">
        <f t="shared" si="0"/>
        <v>11</v>
      </c>
    </row>
    <row r="107" spans="1:22" hidden="1" x14ac:dyDescent="0.2">
      <c r="A107" s="416">
        <v>7</v>
      </c>
      <c r="B107" s="419">
        <v>1780</v>
      </c>
      <c r="C107" s="419">
        <v>1833</v>
      </c>
      <c r="D107" s="419">
        <v>1957</v>
      </c>
      <c r="E107" s="419">
        <v>2187</v>
      </c>
      <c r="F107" s="419">
        <v>2295</v>
      </c>
      <c r="G107" s="419">
        <v>2357</v>
      </c>
      <c r="H107" s="419">
        <v>2414</v>
      </c>
      <c r="I107" s="419">
        <v>2470</v>
      </c>
      <c r="J107" s="419">
        <v>2527</v>
      </c>
      <c r="K107" s="419">
        <v>2589</v>
      </c>
      <c r="L107" s="419">
        <v>2653</v>
      </c>
      <c r="M107" s="419">
        <v>2723</v>
      </c>
      <c r="N107" s="419"/>
      <c r="O107" s="419"/>
      <c r="P107" s="419"/>
      <c r="Q107" s="419"/>
      <c r="R107" s="419"/>
      <c r="S107" s="419"/>
      <c r="T107" s="423"/>
      <c r="U107" s="421"/>
      <c r="V107" s="420">
        <f t="shared" si="0"/>
        <v>12</v>
      </c>
    </row>
    <row r="108" spans="1:22" hidden="1" x14ac:dyDescent="0.2">
      <c r="A108" s="416">
        <v>8</v>
      </c>
      <c r="B108" s="419">
        <v>2017</v>
      </c>
      <c r="C108" s="419">
        <v>2074</v>
      </c>
      <c r="D108" s="419">
        <v>2187</v>
      </c>
      <c r="E108" s="419">
        <v>2414</v>
      </c>
      <c r="F108" s="419">
        <v>2527</v>
      </c>
      <c r="G108" s="419">
        <v>2653</v>
      </c>
      <c r="H108" s="419">
        <v>2723</v>
      </c>
      <c r="I108" s="419">
        <v>2788</v>
      </c>
      <c r="J108" s="419">
        <v>2845</v>
      </c>
      <c r="K108" s="419">
        <v>2907</v>
      </c>
      <c r="L108" s="419">
        <v>2968</v>
      </c>
      <c r="M108" s="419">
        <v>3026</v>
      </c>
      <c r="N108" s="419">
        <v>3080</v>
      </c>
      <c r="O108" s="419"/>
      <c r="P108" s="419"/>
      <c r="Q108" s="419"/>
      <c r="R108" s="419"/>
      <c r="S108" s="419"/>
      <c r="T108" s="423"/>
      <c r="U108" s="421"/>
      <c r="V108" s="420">
        <f t="shared" si="0"/>
        <v>13</v>
      </c>
    </row>
    <row r="109" spans="1:22" hidden="1" x14ac:dyDescent="0.2">
      <c r="A109" s="416">
        <v>9</v>
      </c>
      <c r="B109" s="419">
        <v>2319</v>
      </c>
      <c r="C109" s="419">
        <v>2438</v>
      </c>
      <c r="D109" s="419">
        <v>2678</v>
      </c>
      <c r="E109" s="419">
        <v>2815</v>
      </c>
      <c r="F109" s="419">
        <v>2934</v>
      </c>
      <c r="G109" s="419">
        <v>3056</v>
      </c>
      <c r="H109" s="419">
        <v>3169</v>
      </c>
      <c r="I109" s="419">
        <v>3283</v>
      </c>
      <c r="J109" s="419">
        <v>3408</v>
      </c>
      <c r="K109" s="419">
        <v>3516</v>
      </c>
      <c r="L109" s="419"/>
      <c r="M109" s="419"/>
      <c r="N109" s="419"/>
      <c r="O109" s="419"/>
      <c r="P109" s="419"/>
      <c r="Q109" s="419"/>
      <c r="R109" s="419"/>
      <c r="S109" s="419"/>
      <c r="T109" s="423"/>
      <c r="U109" s="421"/>
      <c r="V109" s="420">
        <f t="shared" si="0"/>
        <v>10</v>
      </c>
    </row>
    <row r="110" spans="1:22" hidden="1" x14ac:dyDescent="0.2">
      <c r="A110" s="416">
        <v>10</v>
      </c>
      <c r="B110" s="419">
        <v>2319</v>
      </c>
      <c r="C110" s="419">
        <v>2553</v>
      </c>
      <c r="D110" s="419">
        <v>2678</v>
      </c>
      <c r="E110" s="419">
        <v>2815</v>
      </c>
      <c r="F110" s="419">
        <v>2934</v>
      </c>
      <c r="G110" s="419">
        <v>3056</v>
      </c>
      <c r="H110" s="419">
        <v>3169</v>
      </c>
      <c r="I110" s="419">
        <v>3283</v>
      </c>
      <c r="J110" s="419">
        <v>3408</v>
      </c>
      <c r="K110" s="419">
        <v>3516</v>
      </c>
      <c r="L110" s="419">
        <v>3630</v>
      </c>
      <c r="M110" s="419">
        <v>3740</v>
      </c>
      <c r="N110" s="419">
        <v>3864</v>
      </c>
      <c r="O110" s="419"/>
      <c r="P110" s="419"/>
      <c r="Q110" s="419"/>
      <c r="R110" s="419"/>
      <c r="S110" s="419"/>
      <c r="T110" s="423"/>
      <c r="U110" s="421"/>
      <c r="V110" s="420">
        <f t="shared" si="0"/>
        <v>13</v>
      </c>
    </row>
    <row r="111" spans="1:22" hidden="1" x14ac:dyDescent="0.2">
      <c r="A111" s="416">
        <v>11</v>
      </c>
      <c r="B111" s="419">
        <v>2438</v>
      </c>
      <c r="C111" s="419">
        <v>2553</v>
      </c>
      <c r="D111" s="419">
        <v>2678</v>
      </c>
      <c r="E111" s="419">
        <v>2815</v>
      </c>
      <c r="F111" s="419">
        <v>2934</v>
      </c>
      <c r="G111" s="419">
        <v>3056</v>
      </c>
      <c r="H111" s="419">
        <v>3169</v>
      </c>
      <c r="I111" s="419">
        <v>3408</v>
      </c>
      <c r="J111" s="419">
        <v>3516</v>
      </c>
      <c r="K111" s="419">
        <v>3630</v>
      </c>
      <c r="L111" s="419">
        <v>3740</v>
      </c>
      <c r="M111" s="419">
        <v>3864</v>
      </c>
      <c r="N111" s="419">
        <v>3986</v>
      </c>
      <c r="O111" s="419">
        <v>4107</v>
      </c>
      <c r="P111" s="419">
        <v>4220</v>
      </c>
      <c r="Q111" s="419">
        <v>4337</v>
      </c>
      <c r="R111" s="419">
        <v>4448</v>
      </c>
      <c r="S111" s="419">
        <v>4509</v>
      </c>
      <c r="T111" s="423"/>
      <c r="U111" s="421"/>
      <c r="V111" s="420">
        <f t="shared" si="0"/>
        <v>18</v>
      </c>
    </row>
    <row r="112" spans="1:22" hidden="1" x14ac:dyDescent="0.2">
      <c r="A112" s="416">
        <v>12</v>
      </c>
      <c r="B112" s="419">
        <v>3283</v>
      </c>
      <c r="C112" s="419">
        <v>3408</v>
      </c>
      <c r="D112" s="419">
        <v>3516</v>
      </c>
      <c r="E112" s="419">
        <v>3630</v>
      </c>
      <c r="F112" s="419">
        <v>3740</v>
      </c>
      <c r="G112" s="419">
        <v>3864</v>
      </c>
      <c r="H112" s="419">
        <v>4107</v>
      </c>
      <c r="I112" s="419">
        <v>4220</v>
      </c>
      <c r="J112" s="419">
        <v>4337</v>
      </c>
      <c r="K112" s="419">
        <v>4448</v>
      </c>
      <c r="L112" s="419">
        <v>4568</v>
      </c>
      <c r="M112" s="419">
        <v>4685</v>
      </c>
      <c r="N112" s="419">
        <v>4796</v>
      </c>
      <c r="O112" s="419">
        <v>4913</v>
      </c>
      <c r="P112" s="419">
        <v>5056</v>
      </c>
      <c r="Q112" s="419">
        <v>5130</v>
      </c>
      <c r="R112" s="419"/>
      <c r="S112" s="419"/>
      <c r="T112" s="423"/>
      <c r="U112" s="421"/>
      <c r="V112" s="420">
        <f t="shared" si="0"/>
        <v>16</v>
      </c>
    </row>
    <row r="113" spans="1:22" hidden="1" x14ac:dyDescent="0.2">
      <c r="A113" s="416">
        <v>13</v>
      </c>
      <c r="B113" s="419">
        <v>3986</v>
      </c>
      <c r="C113" s="419">
        <v>4107</v>
      </c>
      <c r="D113" s="419">
        <v>4220</v>
      </c>
      <c r="E113" s="419">
        <v>4337</v>
      </c>
      <c r="F113" s="419">
        <v>4448</v>
      </c>
      <c r="G113" s="419">
        <v>4685</v>
      </c>
      <c r="H113" s="419">
        <v>4796</v>
      </c>
      <c r="I113" s="419">
        <v>4913</v>
      </c>
      <c r="J113" s="419">
        <v>5056</v>
      </c>
      <c r="K113" s="419">
        <v>5202</v>
      </c>
      <c r="L113" s="419">
        <v>5348</v>
      </c>
      <c r="M113" s="419">
        <v>5491</v>
      </c>
      <c r="N113" s="419">
        <v>5563</v>
      </c>
      <c r="O113" s="419"/>
      <c r="P113" s="419"/>
      <c r="Q113" s="419"/>
      <c r="R113" s="419"/>
      <c r="S113" s="419"/>
      <c r="T113" s="423"/>
      <c r="U113" s="421"/>
      <c r="V113" s="420">
        <f t="shared" si="0"/>
        <v>13</v>
      </c>
    </row>
    <row r="114" spans="1:22" hidden="1" x14ac:dyDescent="0.2">
      <c r="A114" s="416">
        <v>14</v>
      </c>
      <c r="B114" s="419">
        <v>4568</v>
      </c>
      <c r="C114" s="419">
        <v>4685</v>
      </c>
      <c r="D114" s="419">
        <v>4913</v>
      </c>
      <c r="E114" s="419">
        <v>5056</v>
      </c>
      <c r="F114" s="419">
        <v>5202</v>
      </c>
      <c r="G114" s="419">
        <v>5348</v>
      </c>
      <c r="H114" s="419">
        <v>5491</v>
      </c>
      <c r="I114" s="419">
        <v>5638</v>
      </c>
      <c r="J114" s="419">
        <v>5793</v>
      </c>
      <c r="K114" s="419">
        <v>5949</v>
      </c>
      <c r="L114" s="419">
        <v>6111</v>
      </c>
      <c r="M114" s="419"/>
      <c r="N114" s="419"/>
      <c r="O114" s="419"/>
      <c r="P114" s="419"/>
      <c r="Q114" s="419"/>
      <c r="R114" s="419"/>
      <c r="S114" s="419"/>
      <c r="T114" s="423"/>
      <c r="U114" s="421"/>
      <c r="V114" s="420">
        <f t="shared" si="0"/>
        <v>11</v>
      </c>
    </row>
    <row r="115" spans="1:22" hidden="1" x14ac:dyDescent="0.2">
      <c r="A115" s="416">
        <v>15</v>
      </c>
      <c r="B115" s="419">
        <v>4796</v>
      </c>
      <c r="C115" s="419">
        <v>4913</v>
      </c>
      <c r="D115" s="419">
        <v>5056</v>
      </c>
      <c r="E115" s="419">
        <v>5348</v>
      </c>
      <c r="F115" s="419">
        <v>5491</v>
      </c>
      <c r="G115" s="419">
        <v>5638</v>
      </c>
      <c r="H115" s="419">
        <v>5793</v>
      </c>
      <c r="I115" s="419">
        <v>5949</v>
      </c>
      <c r="J115" s="419">
        <v>6111</v>
      </c>
      <c r="K115" s="419">
        <v>6305</v>
      </c>
      <c r="L115" s="419">
        <v>6508</v>
      </c>
      <c r="M115" s="419">
        <v>6715</v>
      </c>
      <c r="N115" s="419"/>
      <c r="O115" s="419"/>
      <c r="P115" s="419"/>
      <c r="Q115" s="419"/>
      <c r="R115" s="419"/>
      <c r="S115" s="419"/>
      <c r="T115" s="427"/>
      <c r="U115" s="428"/>
      <c r="V115" s="420">
        <f t="shared" si="0"/>
        <v>12</v>
      </c>
    </row>
    <row r="116" spans="1:22" hidden="1" x14ac:dyDescent="0.2">
      <c r="A116" s="416">
        <v>16</v>
      </c>
      <c r="B116" s="419">
        <v>5202</v>
      </c>
      <c r="C116" s="419">
        <v>5348</v>
      </c>
      <c r="D116" s="419">
        <v>5491</v>
      </c>
      <c r="E116" s="419">
        <v>5793</v>
      </c>
      <c r="F116" s="419">
        <v>5949</v>
      </c>
      <c r="G116" s="419">
        <v>6111</v>
      </c>
      <c r="H116" s="419">
        <v>6305</v>
      </c>
      <c r="I116" s="419">
        <v>6508</v>
      </c>
      <c r="J116" s="419">
        <v>6715</v>
      </c>
      <c r="K116" s="419">
        <v>6930</v>
      </c>
      <c r="L116" s="419">
        <v>7148</v>
      </c>
      <c r="M116" s="419">
        <v>7377</v>
      </c>
      <c r="N116" s="419"/>
      <c r="O116" s="419"/>
      <c r="P116" s="419"/>
      <c r="Q116" s="419"/>
      <c r="R116" s="419"/>
      <c r="S116" s="419"/>
      <c r="T116" s="427"/>
      <c r="U116" s="428"/>
      <c r="V116" s="420">
        <f t="shared" si="0"/>
        <v>12</v>
      </c>
    </row>
    <row r="117" spans="1:22" hidden="1" x14ac:dyDescent="0.2">
      <c r="A117" s="369"/>
      <c r="B117" s="369"/>
      <c r="C117" s="369"/>
      <c r="D117" s="369"/>
      <c r="E117" s="369"/>
      <c r="F117" s="369"/>
      <c r="G117" s="369"/>
      <c r="H117" s="369"/>
      <c r="I117" s="369"/>
      <c r="J117" s="369"/>
      <c r="K117" s="369"/>
      <c r="L117" s="369"/>
      <c r="M117" s="369"/>
      <c r="N117" s="369"/>
      <c r="O117" s="369"/>
      <c r="P117" s="369"/>
      <c r="Q117" s="369"/>
      <c r="R117" s="369"/>
      <c r="S117" s="369"/>
      <c r="T117" s="369"/>
      <c r="U117" s="369"/>
      <c r="V117" s="369"/>
    </row>
    <row r="118" spans="1:22" hidden="1" x14ac:dyDescent="0.2">
      <c r="A118" s="414" t="s">
        <v>1</v>
      </c>
      <c r="B118" s="698">
        <v>43344</v>
      </c>
      <c r="C118" s="698"/>
      <c r="D118" s="415"/>
      <c r="E118" s="416"/>
      <c r="F118" s="416"/>
      <c r="G118" s="416"/>
      <c r="H118" s="416"/>
      <c r="I118" s="416"/>
      <c r="J118" s="416"/>
      <c r="K118" s="416"/>
      <c r="L118" s="416"/>
      <c r="M118" s="416"/>
      <c r="N118" s="416"/>
      <c r="O118" s="416"/>
      <c r="P118" s="416"/>
      <c r="Q118" s="416"/>
      <c r="R118" s="416"/>
      <c r="S118" s="416"/>
      <c r="T118" s="416"/>
      <c r="U118" s="416"/>
      <c r="V118" s="416"/>
    </row>
    <row r="119" spans="1:22" hidden="1" x14ac:dyDescent="0.2">
      <c r="A119" s="415" t="s">
        <v>2</v>
      </c>
      <c r="B119" s="417">
        <v>1</v>
      </c>
      <c r="C119" s="417">
        <v>2</v>
      </c>
      <c r="D119" s="417">
        <v>3</v>
      </c>
      <c r="E119" s="417">
        <v>4</v>
      </c>
      <c r="F119" s="417">
        <v>5</v>
      </c>
      <c r="G119" s="417">
        <v>6</v>
      </c>
      <c r="H119" s="417">
        <v>7</v>
      </c>
      <c r="I119" s="417">
        <v>8</v>
      </c>
      <c r="J119" s="417">
        <v>9</v>
      </c>
      <c r="K119" s="417">
        <v>10</v>
      </c>
      <c r="L119" s="417">
        <v>11</v>
      </c>
      <c r="M119" s="417">
        <v>12</v>
      </c>
      <c r="N119" s="417">
        <v>13</v>
      </c>
      <c r="O119" s="417">
        <v>14</v>
      </c>
      <c r="P119" s="417">
        <v>15</v>
      </c>
      <c r="Q119" s="417">
        <v>16</v>
      </c>
      <c r="R119" s="417">
        <v>17</v>
      </c>
      <c r="S119" s="417">
        <v>18</v>
      </c>
      <c r="T119" s="417">
        <v>19</v>
      </c>
      <c r="U119" s="417">
        <v>20</v>
      </c>
      <c r="V119" s="417" t="s">
        <v>27</v>
      </c>
    </row>
    <row r="120" spans="1:22" hidden="1" x14ac:dyDescent="0.2">
      <c r="A120" s="418" t="s">
        <v>11</v>
      </c>
      <c r="B120" s="419">
        <v>2648</v>
      </c>
      <c r="C120" s="419">
        <v>2766</v>
      </c>
      <c r="D120" s="419">
        <v>2895</v>
      </c>
      <c r="E120" s="419">
        <v>3036</v>
      </c>
      <c r="F120" s="419">
        <v>3157</v>
      </c>
      <c r="G120" s="419">
        <v>3282</v>
      </c>
      <c r="H120" s="419">
        <v>3397</v>
      </c>
      <c r="I120" s="419">
        <v>3514</v>
      </c>
      <c r="J120" s="419">
        <v>3639</v>
      </c>
      <c r="K120" s="419">
        <v>3755</v>
      </c>
      <c r="L120" s="419">
        <v>3867</v>
      </c>
      <c r="M120" s="419">
        <v>3982</v>
      </c>
      <c r="N120" s="419">
        <v>4176</v>
      </c>
      <c r="O120" s="419"/>
      <c r="P120" s="419"/>
      <c r="Q120" s="419"/>
      <c r="R120" s="419"/>
      <c r="S120" s="419"/>
      <c r="T120" s="419"/>
      <c r="U120" s="419"/>
      <c r="V120" s="420">
        <f t="shared" ref="V120:V161" si="1">COUNTA(B120:U120)</f>
        <v>13</v>
      </c>
    </row>
    <row r="121" spans="1:22" hidden="1" x14ac:dyDescent="0.2">
      <c r="A121" s="418" t="s">
        <v>12</v>
      </c>
      <c r="B121" s="419">
        <v>2704</v>
      </c>
      <c r="C121" s="419">
        <v>2835</v>
      </c>
      <c r="D121" s="419">
        <v>2973</v>
      </c>
      <c r="E121" s="419">
        <v>3098</v>
      </c>
      <c r="F121" s="419">
        <v>3220</v>
      </c>
      <c r="G121" s="419">
        <v>3338</v>
      </c>
      <c r="H121" s="419">
        <v>3453</v>
      </c>
      <c r="I121" s="419">
        <v>3580</v>
      </c>
      <c r="J121" s="419">
        <v>3694</v>
      </c>
      <c r="K121" s="419">
        <v>3808</v>
      </c>
      <c r="L121" s="419">
        <v>3923</v>
      </c>
      <c r="M121" s="419">
        <v>4048</v>
      </c>
      <c r="N121" s="419">
        <v>4176</v>
      </c>
      <c r="O121" s="419">
        <v>4297</v>
      </c>
      <c r="P121" s="419">
        <v>4416</v>
      </c>
      <c r="Q121" s="419">
        <v>4533</v>
      </c>
      <c r="R121" s="419">
        <v>4649</v>
      </c>
      <c r="S121" s="419">
        <v>4709</v>
      </c>
      <c r="T121" s="419"/>
      <c r="U121" s="419"/>
      <c r="V121" s="420">
        <f t="shared" si="1"/>
        <v>18</v>
      </c>
    </row>
    <row r="122" spans="1:22" hidden="1" x14ac:dyDescent="0.2">
      <c r="A122" s="418" t="s">
        <v>13</v>
      </c>
      <c r="B122" s="419">
        <v>2835</v>
      </c>
      <c r="C122" s="419">
        <v>2973</v>
      </c>
      <c r="D122" s="419">
        <v>3220</v>
      </c>
      <c r="E122" s="419">
        <v>3453</v>
      </c>
      <c r="F122" s="419">
        <v>3580</v>
      </c>
      <c r="G122" s="419">
        <v>3694</v>
      </c>
      <c r="H122" s="419">
        <v>3808</v>
      </c>
      <c r="I122" s="419">
        <v>3923</v>
      </c>
      <c r="J122" s="419">
        <v>4048</v>
      </c>
      <c r="K122" s="419">
        <v>4176</v>
      </c>
      <c r="L122" s="419">
        <v>4297</v>
      </c>
      <c r="M122" s="419">
        <v>4416</v>
      </c>
      <c r="N122" s="419">
        <v>4533</v>
      </c>
      <c r="O122" s="419">
        <v>4649</v>
      </c>
      <c r="P122" s="419">
        <v>4770</v>
      </c>
      <c r="Q122" s="419">
        <v>4890</v>
      </c>
      <c r="R122" s="419">
        <v>5003</v>
      </c>
      <c r="S122" s="419">
        <v>5123</v>
      </c>
      <c r="T122" s="419">
        <v>5272</v>
      </c>
      <c r="U122" s="419">
        <v>5345</v>
      </c>
      <c r="V122" s="420">
        <f t="shared" si="1"/>
        <v>20</v>
      </c>
    </row>
    <row r="123" spans="1:22" hidden="1" x14ac:dyDescent="0.2">
      <c r="A123" s="418" t="s">
        <v>14</v>
      </c>
      <c r="B123" s="419">
        <v>2973</v>
      </c>
      <c r="C123" s="419">
        <v>3220</v>
      </c>
      <c r="D123" s="419">
        <v>3453</v>
      </c>
      <c r="E123" s="419">
        <v>3694</v>
      </c>
      <c r="F123" s="419">
        <v>3923</v>
      </c>
      <c r="G123" s="419">
        <v>4176</v>
      </c>
      <c r="H123" s="419">
        <v>4297</v>
      </c>
      <c r="I123" s="419">
        <v>4416</v>
      </c>
      <c r="J123" s="419">
        <v>4533</v>
      </c>
      <c r="K123" s="419">
        <v>4649</v>
      </c>
      <c r="L123" s="419">
        <v>4770</v>
      </c>
      <c r="M123" s="419">
        <v>4890</v>
      </c>
      <c r="N123" s="419">
        <v>5003</v>
      </c>
      <c r="O123" s="419">
        <v>5123</v>
      </c>
      <c r="P123" s="419">
        <v>5272</v>
      </c>
      <c r="Q123" s="419">
        <v>5420</v>
      </c>
      <c r="R123" s="419">
        <v>5569</v>
      </c>
      <c r="S123" s="419">
        <v>5718</v>
      </c>
      <c r="T123" s="419">
        <v>5789</v>
      </c>
      <c r="U123" s="419"/>
      <c r="V123" s="420">
        <f t="shared" si="1"/>
        <v>19</v>
      </c>
    </row>
    <row r="124" spans="1:22" hidden="1" x14ac:dyDescent="0.2">
      <c r="A124" s="418" t="s">
        <v>3</v>
      </c>
      <c r="B124" s="419">
        <v>2888</v>
      </c>
      <c r="C124" s="419">
        <v>2999</v>
      </c>
      <c r="D124" s="419">
        <v>3113</v>
      </c>
      <c r="E124" s="419">
        <v>3223</v>
      </c>
      <c r="F124" s="419">
        <v>3334</v>
      </c>
      <c r="G124" s="419">
        <v>3447</v>
      </c>
      <c r="H124" s="419">
        <v>3559</v>
      </c>
      <c r="I124" s="419">
        <v>3671</v>
      </c>
      <c r="J124" s="419">
        <v>3781</v>
      </c>
      <c r="K124" s="419">
        <v>3893</v>
      </c>
      <c r="L124" s="419">
        <v>4007</v>
      </c>
      <c r="M124" s="419">
        <v>4118</v>
      </c>
      <c r="N124" s="419">
        <v>4231</v>
      </c>
      <c r="O124" s="419"/>
      <c r="P124" s="419"/>
      <c r="Q124" s="419"/>
      <c r="R124" s="419"/>
      <c r="S124" s="419"/>
      <c r="T124" s="421"/>
      <c r="U124" s="421"/>
      <c r="V124" s="420">
        <f t="shared" si="1"/>
        <v>13</v>
      </c>
    </row>
    <row r="125" spans="1:22" hidden="1" x14ac:dyDescent="0.2">
      <c r="A125" s="418" t="s">
        <v>4</v>
      </c>
      <c r="B125" s="419">
        <v>2999</v>
      </c>
      <c r="C125" s="419">
        <v>3223</v>
      </c>
      <c r="D125" s="419">
        <v>3447</v>
      </c>
      <c r="E125" s="419">
        <v>3559</v>
      </c>
      <c r="F125" s="419">
        <v>3671</v>
      </c>
      <c r="G125" s="419">
        <v>3781</v>
      </c>
      <c r="H125" s="419">
        <v>3893</v>
      </c>
      <c r="I125" s="419">
        <v>4007</v>
      </c>
      <c r="J125" s="419">
        <v>4118</v>
      </c>
      <c r="K125" s="419">
        <v>4231</v>
      </c>
      <c r="L125" s="419">
        <v>4344</v>
      </c>
      <c r="M125" s="419">
        <v>4454</v>
      </c>
      <c r="N125" s="419">
        <v>4566</v>
      </c>
      <c r="O125" s="419">
        <v>4676</v>
      </c>
      <c r="P125" s="419">
        <v>4791</v>
      </c>
      <c r="Q125" s="419"/>
      <c r="R125" s="419"/>
      <c r="S125" s="419"/>
      <c r="T125" s="421"/>
      <c r="U125" s="421"/>
      <c r="V125" s="420">
        <f t="shared" si="1"/>
        <v>15</v>
      </c>
    </row>
    <row r="126" spans="1:22" hidden="1" x14ac:dyDescent="0.2">
      <c r="A126" s="418" t="s">
        <v>5</v>
      </c>
      <c r="B126" s="419">
        <v>2999</v>
      </c>
      <c r="C126" s="419">
        <v>3223</v>
      </c>
      <c r="D126" s="419">
        <v>3447</v>
      </c>
      <c r="E126" s="419">
        <v>3559</v>
      </c>
      <c r="F126" s="419">
        <v>3671</v>
      </c>
      <c r="G126" s="419">
        <v>3781</v>
      </c>
      <c r="H126" s="419">
        <v>3893</v>
      </c>
      <c r="I126" s="419">
        <v>4007</v>
      </c>
      <c r="J126" s="419">
        <v>4118</v>
      </c>
      <c r="K126" s="419">
        <v>4231</v>
      </c>
      <c r="L126" s="419">
        <v>4344</v>
      </c>
      <c r="M126" s="419">
        <v>4454</v>
      </c>
      <c r="N126" s="419">
        <v>4566</v>
      </c>
      <c r="O126" s="419">
        <v>4676</v>
      </c>
      <c r="P126" s="419">
        <v>4791</v>
      </c>
      <c r="Q126" s="419">
        <v>4902</v>
      </c>
      <c r="R126" s="419">
        <v>5014</v>
      </c>
      <c r="S126" s="419"/>
      <c r="T126" s="421"/>
      <c r="U126" s="421"/>
      <c r="V126" s="420">
        <f t="shared" si="1"/>
        <v>17</v>
      </c>
    </row>
    <row r="127" spans="1:22" hidden="1" x14ac:dyDescent="0.2">
      <c r="A127" s="418" t="s">
        <v>6</v>
      </c>
      <c r="B127" s="419">
        <v>3113</v>
      </c>
      <c r="C127" s="419">
        <v>3447</v>
      </c>
      <c r="D127" s="419">
        <v>3671</v>
      </c>
      <c r="E127" s="419">
        <v>3893</v>
      </c>
      <c r="F127" s="419">
        <v>4118</v>
      </c>
      <c r="G127" s="419">
        <v>4231</v>
      </c>
      <c r="H127" s="419">
        <v>4344</v>
      </c>
      <c r="I127" s="419">
        <v>4454</v>
      </c>
      <c r="J127" s="419">
        <v>4566</v>
      </c>
      <c r="K127" s="419">
        <v>4676</v>
      </c>
      <c r="L127" s="419">
        <v>4791</v>
      </c>
      <c r="M127" s="419">
        <v>4902</v>
      </c>
      <c r="N127" s="419">
        <v>5014</v>
      </c>
      <c r="O127" s="419">
        <v>5124</v>
      </c>
      <c r="P127" s="419">
        <v>5236</v>
      </c>
      <c r="Q127" s="419">
        <v>5350</v>
      </c>
      <c r="R127" s="419"/>
      <c r="S127" s="419"/>
      <c r="T127" s="421"/>
      <c r="U127" s="421"/>
      <c r="V127" s="420">
        <f t="shared" si="1"/>
        <v>16</v>
      </c>
    </row>
    <row r="128" spans="1:22" hidden="1" x14ac:dyDescent="0.2">
      <c r="A128" s="418" t="s">
        <v>7</v>
      </c>
      <c r="B128" s="419">
        <v>3113</v>
      </c>
      <c r="C128" s="419">
        <v>3447</v>
      </c>
      <c r="D128" s="419">
        <v>3671</v>
      </c>
      <c r="E128" s="419">
        <v>3893</v>
      </c>
      <c r="F128" s="419">
        <v>4118</v>
      </c>
      <c r="G128" s="419">
        <v>4231</v>
      </c>
      <c r="H128" s="419">
        <v>4344</v>
      </c>
      <c r="I128" s="419">
        <v>4454</v>
      </c>
      <c r="J128" s="419">
        <v>4566</v>
      </c>
      <c r="K128" s="419">
        <v>4676</v>
      </c>
      <c r="L128" s="419">
        <v>4791</v>
      </c>
      <c r="M128" s="419">
        <v>4902</v>
      </c>
      <c r="N128" s="419">
        <v>5014</v>
      </c>
      <c r="O128" s="419">
        <v>5124</v>
      </c>
      <c r="P128" s="419">
        <v>5236</v>
      </c>
      <c r="Q128" s="419">
        <v>5350</v>
      </c>
      <c r="R128" s="419">
        <v>5461</v>
      </c>
      <c r="S128" s="419">
        <v>5572</v>
      </c>
      <c r="T128" s="421"/>
      <c r="U128" s="421"/>
      <c r="V128" s="420">
        <f t="shared" si="1"/>
        <v>18</v>
      </c>
    </row>
    <row r="129" spans="1:38" hidden="1" x14ac:dyDescent="0.2">
      <c r="A129" s="418" t="s">
        <v>8</v>
      </c>
      <c r="B129" s="419">
        <v>3160</v>
      </c>
      <c r="C129" s="419">
        <v>3392</v>
      </c>
      <c r="D129" s="419">
        <v>3630</v>
      </c>
      <c r="E129" s="419">
        <v>3857</v>
      </c>
      <c r="F129" s="419">
        <v>4109</v>
      </c>
      <c r="G129" s="419">
        <v>4231</v>
      </c>
      <c r="H129" s="419">
        <v>4348</v>
      </c>
      <c r="I129" s="419">
        <v>4467</v>
      </c>
      <c r="J129" s="419">
        <v>4580</v>
      </c>
      <c r="K129" s="419">
        <v>4702</v>
      </c>
      <c r="L129" s="419">
        <v>4820</v>
      </c>
      <c r="M129" s="419">
        <v>4934</v>
      </c>
      <c r="N129" s="419">
        <v>5052</v>
      </c>
      <c r="O129" s="419">
        <v>5200</v>
      </c>
      <c r="P129" s="419">
        <v>5349</v>
      </c>
      <c r="Q129" s="419">
        <v>5496</v>
      </c>
      <c r="R129" s="419">
        <v>5644</v>
      </c>
      <c r="S129" s="419">
        <v>5715</v>
      </c>
      <c r="T129" s="421"/>
      <c r="U129" s="421"/>
      <c r="V129" s="420">
        <f t="shared" si="1"/>
        <v>18</v>
      </c>
    </row>
    <row r="130" spans="1:38" hidden="1" x14ac:dyDescent="0.2">
      <c r="A130" s="418" t="s">
        <v>9</v>
      </c>
      <c r="B130" s="419">
        <v>3276</v>
      </c>
      <c r="C130" s="419">
        <v>3517</v>
      </c>
      <c r="D130" s="419">
        <v>3744</v>
      </c>
      <c r="E130" s="419">
        <v>3983</v>
      </c>
      <c r="F130" s="419">
        <v>4231</v>
      </c>
      <c r="G130" s="419">
        <v>4467</v>
      </c>
      <c r="H130" s="419">
        <v>4702</v>
      </c>
      <c r="I130" s="419">
        <v>4820</v>
      </c>
      <c r="J130" s="419">
        <v>4934</v>
      </c>
      <c r="K130" s="419">
        <v>5052</v>
      </c>
      <c r="L130" s="419">
        <v>5200</v>
      </c>
      <c r="M130" s="419">
        <v>5349</v>
      </c>
      <c r="N130" s="419">
        <v>5496</v>
      </c>
      <c r="O130" s="419">
        <v>5644</v>
      </c>
      <c r="P130" s="419">
        <v>5794</v>
      </c>
      <c r="Q130" s="419">
        <v>5951</v>
      </c>
      <c r="R130" s="419">
        <v>6111</v>
      </c>
      <c r="S130" s="419">
        <v>6276</v>
      </c>
      <c r="T130" s="421"/>
      <c r="U130" s="421"/>
      <c r="V130" s="420">
        <f>COUNTA(B130:U130)</f>
        <v>18</v>
      </c>
    </row>
    <row r="131" spans="1:38" hidden="1" x14ac:dyDescent="0.2">
      <c r="A131" s="422" t="s">
        <v>68</v>
      </c>
      <c r="B131" s="421">
        <v>1594.2</v>
      </c>
      <c r="C131" s="421">
        <v>1610</v>
      </c>
      <c r="D131" s="421">
        <v>1677</v>
      </c>
      <c r="E131" s="421">
        <v>1707</v>
      </c>
      <c r="F131" s="421">
        <v>1742</v>
      </c>
      <c r="G131" s="421">
        <v>1778</v>
      </c>
      <c r="H131" s="421">
        <v>1825</v>
      </c>
      <c r="I131" s="421"/>
      <c r="J131" s="423"/>
      <c r="K131" s="423"/>
      <c r="L131" s="423"/>
      <c r="M131" s="423"/>
      <c r="N131" s="423"/>
      <c r="O131" s="423"/>
      <c r="P131" s="423"/>
      <c r="Q131" s="423"/>
      <c r="R131" s="423"/>
      <c r="S131" s="423"/>
      <c r="T131" s="423"/>
      <c r="U131" s="421"/>
      <c r="V131" s="420">
        <f t="shared" si="1"/>
        <v>7</v>
      </c>
    </row>
    <row r="132" spans="1:38" hidden="1" x14ac:dyDescent="0.2">
      <c r="A132" s="416" t="s">
        <v>69</v>
      </c>
      <c r="B132" s="421">
        <v>1594.2</v>
      </c>
      <c r="C132" s="421">
        <v>1644</v>
      </c>
      <c r="D132" s="421">
        <v>1707</v>
      </c>
      <c r="E132" s="421">
        <v>1778</v>
      </c>
      <c r="F132" s="421">
        <v>1825</v>
      </c>
      <c r="G132" s="421">
        <v>1878</v>
      </c>
      <c r="H132" s="421">
        <v>1944</v>
      </c>
      <c r="I132" s="421">
        <v>2006</v>
      </c>
      <c r="J132" s="423"/>
      <c r="K132" s="423"/>
      <c r="L132" s="423"/>
      <c r="M132" s="423"/>
      <c r="N132" s="423"/>
      <c r="O132" s="423"/>
      <c r="P132" s="423"/>
      <c r="Q132" s="423"/>
      <c r="R132" s="423"/>
      <c r="S132" s="423"/>
      <c r="T132" s="423"/>
      <c r="U132" s="421"/>
      <c r="V132" s="420">
        <f t="shared" si="1"/>
        <v>8</v>
      </c>
    </row>
    <row r="133" spans="1:38" hidden="1" x14ac:dyDescent="0.2">
      <c r="A133" s="416" t="s">
        <v>70</v>
      </c>
      <c r="B133" s="421">
        <v>1594.2</v>
      </c>
      <c r="C133" s="421">
        <v>1707</v>
      </c>
      <c r="D133" s="421">
        <v>1778</v>
      </c>
      <c r="E133" s="421">
        <v>1878</v>
      </c>
      <c r="F133" s="421">
        <v>1944</v>
      </c>
      <c r="G133" s="421">
        <v>2006</v>
      </c>
      <c r="H133" s="421">
        <v>2067</v>
      </c>
      <c r="I133" s="421"/>
      <c r="J133" s="423"/>
      <c r="K133" s="423"/>
      <c r="L133" s="423"/>
      <c r="M133" s="423"/>
      <c r="N133" s="423"/>
      <c r="O133" s="423"/>
      <c r="P133" s="423"/>
      <c r="Q133" s="423"/>
      <c r="R133" s="423"/>
      <c r="S133" s="423"/>
      <c r="T133" s="423"/>
      <c r="U133" s="421"/>
      <c r="V133" s="420">
        <f t="shared" si="1"/>
        <v>7</v>
      </c>
    </row>
    <row r="134" spans="1:38" hidden="1" x14ac:dyDescent="0.2">
      <c r="A134" s="418" t="s">
        <v>314</v>
      </c>
      <c r="B134" s="419">
        <v>2563</v>
      </c>
      <c r="C134" s="419">
        <v>2638</v>
      </c>
      <c r="D134" s="419">
        <v>2715</v>
      </c>
      <c r="E134" s="419">
        <v>2795</v>
      </c>
      <c r="F134" s="419">
        <v>2877</v>
      </c>
      <c r="G134" s="419">
        <v>2962</v>
      </c>
      <c r="H134" s="419">
        <v>3049</v>
      </c>
      <c r="I134" s="419">
        <v>3139</v>
      </c>
      <c r="J134" s="419">
        <v>3231</v>
      </c>
      <c r="K134" s="419">
        <v>3326</v>
      </c>
      <c r="L134" s="419">
        <v>3424</v>
      </c>
      <c r="M134" s="419">
        <v>3524</v>
      </c>
      <c r="N134" s="419">
        <v>3629</v>
      </c>
      <c r="O134" s="419">
        <v>3735</v>
      </c>
      <c r="P134" s="419">
        <v>3875</v>
      </c>
      <c r="Q134" s="423"/>
      <c r="R134" s="423"/>
      <c r="S134" s="423"/>
      <c r="T134" s="423"/>
      <c r="U134" s="421"/>
      <c r="V134" s="420">
        <f t="shared" si="1"/>
        <v>15</v>
      </c>
      <c r="X134" s="435">
        <f t="shared" ref="X134:AL137" si="2">B134-B89</f>
        <v>127</v>
      </c>
      <c r="Y134" s="435">
        <f t="shared" si="2"/>
        <v>153</v>
      </c>
      <c r="Z134" s="435">
        <f t="shared" si="2"/>
        <v>176</v>
      </c>
      <c r="AA134" s="435">
        <f t="shared" si="2"/>
        <v>202</v>
      </c>
      <c r="AB134" s="435">
        <f t="shared" si="2"/>
        <v>230</v>
      </c>
      <c r="AC134" s="435">
        <f t="shared" si="2"/>
        <v>252</v>
      </c>
      <c r="AD134" s="435">
        <f t="shared" si="2"/>
        <v>273</v>
      </c>
      <c r="AE134" s="435">
        <f t="shared" si="2"/>
        <v>292</v>
      </c>
      <c r="AF134" s="435">
        <f t="shared" si="2"/>
        <v>304</v>
      </c>
      <c r="AG134" s="435">
        <f t="shared" si="2"/>
        <v>317</v>
      </c>
      <c r="AH134" s="435">
        <f t="shared" si="2"/>
        <v>325</v>
      </c>
      <c r="AI134" s="435">
        <f t="shared" si="2"/>
        <v>330</v>
      </c>
      <c r="AJ134" s="435">
        <f t="shared" si="2"/>
        <v>333</v>
      </c>
      <c r="AK134" s="435">
        <f t="shared" si="2"/>
        <v>334</v>
      </c>
      <c r="AL134" s="435">
        <f t="shared" si="2"/>
        <v>393</v>
      </c>
    </row>
    <row r="135" spans="1:38" hidden="1" x14ac:dyDescent="0.2">
      <c r="A135" s="418" t="s">
        <v>315</v>
      </c>
      <c r="B135" s="419">
        <v>2639</v>
      </c>
      <c r="C135" s="419">
        <v>2729</v>
      </c>
      <c r="D135" s="419">
        <v>2821</v>
      </c>
      <c r="E135" s="419">
        <v>2916</v>
      </c>
      <c r="F135" s="419">
        <v>3015</v>
      </c>
      <c r="G135" s="419">
        <v>3117</v>
      </c>
      <c r="H135" s="419">
        <v>3222</v>
      </c>
      <c r="I135" s="419">
        <v>3331</v>
      </c>
      <c r="J135" s="419">
        <v>3443</v>
      </c>
      <c r="K135" s="419">
        <v>3560</v>
      </c>
      <c r="L135" s="419">
        <v>3680</v>
      </c>
      <c r="M135" s="419">
        <v>3805</v>
      </c>
      <c r="N135" s="419">
        <v>3933</v>
      </c>
      <c r="O135" s="419">
        <v>4066</v>
      </c>
      <c r="P135" s="419">
        <v>4228</v>
      </c>
      <c r="Q135" s="423"/>
      <c r="R135" s="423"/>
      <c r="S135" s="423"/>
      <c r="T135" s="423"/>
      <c r="U135" s="421"/>
      <c r="V135" s="420">
        <f t="shared" si="1"/>
        <v>15</v>
      </c>
      <c r="X135" s="435">
        <f t="shared" si="2"/>
        <v>114</v>
      </c>
      <c r="Y135" s="435">
        <f t="shared" si="2"/>
        <v>143</v>
      </c>
      <c r="Z135" s="435">
        <f t="shared" si="2"/>
        <v>166</v>
      </c>
      <c r="AA135" s="435">
        <f t="shared" si="2"/>
        <v>194</v>
      </c>
      <c r="AB135" s="435">
        <f t="shared" si="2"/>
        <v>226</v>
      </c>
      <c r="AC135" s="435">
        <f t="shared" si="2"/>
        <v>252</v>
      </c>
      <c r="AD135" s="435">
        <f t="shared" si="2"/>
        <v>275</v>
      </c>
      <c r="AE135" s="435">
        <f t="shared" si="2"/>
        <v>294</v>
      </c>
      <c r="AF135" s="435">
        <f t="shared" si="2"/>
        <v>302</v>
      </c>
      <c r="AG135" s="435">
        <f t="shared" si="2"/>
        <v>314</v>
      </c>
      <c r="AH135" s="435">
        <f t="shared" si="2"/>
        <v>320</v>
      </c>
      <c r="AI135" s="435">
        <f t="shared" si="2"/>
        <v>328</v>
      </c>
      <c r="AJ135" s="435">
        <f t="shared" si="2"/>
        <v>334</v>
      </c>
      <c r="AK135" s="435">
        <f t="shared" si="2"/>
        <v>339</v>
      </c>
      <c r="AL135" s="435">
        <f t="shared" si="2"/>
        <v>402</v>
      </c>
    </row>
    <row r="136" spans="1:38" hidden="1" x14ac:dyDescent="0.2">
      <c r="A136" s="418" t="s">
        <v>316</v>
      </c>
      <c r="B136" s="419">
        <v>2691</v>
      </c>
      <c r="C136" s="419">
        <v>2806</v>
      </c>
      <c r="D136" s="419">
        <v>2927</v>
      </c>
      <c r="E136" s="419">
        <v>3052</v>
      </c>
      <c r="F136" s="419">
        <v>3184</v>
      </c>
      <c r="G136" s="419">
        <v>3321</v>
      </c>
      <c r="H136" s="419">
        <v>3463</v>
      </c>
      <c r="I136" s="419">
        <v>3613</v>
      </c>
      <c r="J136" s="419">
        <v>3768</v>
      </c>
      <c r="K136" s="419">
        <v>3930</v>
      </c>
      <c r="L136" s="419">
        <v>4099</v>
      </c>
      <c r="M136" s="419">
        <v>4275</v>
      </c>
      <c r="N136" s="419">
        <v>4460</v>
      </c>
      <c r="O136" s="419">
        <v>4651</v>
      </c>
      <c r="P136" s="419">
        <v>4851</v>
      </c>
      <c r="Q136" s="423"/>
      <c r="R136" s="423"/>
      <c r="S136" s="423"/>
      <c r="T136" s="423"/>
      <c r="U136" s="421"/>
      <c r="V136" s="420">
        <f t="shared" si="1"/>
        <v>15</v>
      </c>
      <c r="X136" s="435">
        <f t="shared" si="2"/>
        <v>152</v>
      </c>
      <c r="Y136" s="435">
        <f t="shared" si="2"/>
        <v>144</v>
      </c>
      <c r="Z136" s="435">
        <f t="shared" si="2"/>
        <v>139</v>
      </c>
      <c r="AA136" s="435">
        <f t="shared" si="2"/>
        <v>137</v>
      </c>
      <c r="AB136" s="435">
        <f t="shared" si="2"/>
        <v>143</v>
      </c>
      <c r="AC136" s="435">
        <f t="shared" si="2"/>
        <v>150</v>
      </c>
      <c r="AD136" s="435">
        <f t="shared" si="2"/>
        <v>159</v>
      </c>
      <c r="AE136" s="435">
        <f t="shared" si="2"/>
        <v>173</v>
      </c>
      <c r="AF136" s="435">
        <f t="shared" si="2"/>
        <v>186</v>
      </c>
      <c r="AG136" s="435">
        <f t="shared" si="2"/>
        <v>202</v>
      </c>
      <c r="AH136" s="435">
        <f t="shared" si="2"/>
        <v>225</v>
      </c>
      <c r="AI136" s="435">
        <f t="shared" si="2"/>
        <v>248</v>
      </c>
      <c r="AJ136" s="435">
        <f t="shared" si="2"/>
        <v>277</v>
      </c>
      <c r="AK136" s="435">
        <f t="shared" si="2"/>
        <v>309</v>
      </c>
      <c r="AL136" s="435">
        <f t="shared" si="2"/>
        <v>387</v>
      </c>
    </row>
    <row r="137" spans="1:38" hidden="1" x14ac:dyDescent="0.2">
      <c r="A137" s="418" t="s">
        <v>317</v>
      </c>
      <c r="B137" s="419">
        <v>2691</v>
      </c>
      <c r="C137" s="419">
        <v>2806</v>
      </c>
      <c r="D137" s="419">
        <v>2961</v>
      </c>
      <c r="E137" s="419">
        <v>3124</v>
      </c>
      <c r="F137" s="419">
        <v>3288</v>
      </c>
      <c r="G137" s="419">
        <v>3459</v>
      </c>
      <c r="H137" s="419">
        <v>3637</v>
      </c>
      <c r="I137" s="419">
        <v>3817</v>
      </c>
      <c r="J137" s="419">
        <v>4007</v>
      </c>
      <c r="K137" s="419">
        <v>4204</v>
      </c>
      <c r="L137" s="419">
        <v>4406</v>
      </c>
      <c r="M137" s="419">
        <v>4616</v>
      </c>
      <c r="N137" s="419">
        <v>4833</v>
      </c>
      <c r="O137" s="419">
        <v>5055</v>
      </c>
      <c r="P137" s="419">
        <v>5294</v>
      </c>
      <c r="Q137" s="423"/>
      <c r="R137" s="423"/>
      <c r="S137" s="423"/>
      <c r="T137" s="423"/>
      <c r="U137" s="421"/>
      <c r="V137" s="420">
        <f t="shared" si="1"/>
        <v>15</v>
      </c>
      <c r="X137" s="435">
        <f t="shared" si="2"/>
        <v>143</v>
      </c>
      <c r="Y137" s="435">
        <f t="shared" si="2"/>
        <v>104</v>
      </c>
      <c r="Z137" s="435">
        <f t="shared" si="2"/>
        <v>102</v>
      </c>
      <c r="AA137" s="435">
        <f t="shared" si="2"/>
        <v>106</v>
      </c>
      <c r="AB137" s="435">
        <f t="shared" si="2"/>
        <v>110</v>
      </c>
      <c r="AC137" s="435">
        <f t="shared" si="2"/>
        <v>114</v>
      </c>
      <c r="AD137" s="435">
        <f t="shared" si="2"/>
        <v>119</v>
      </c>
      <c r="AE137" s="435">
        <f t="shared" si="2"/>
        <v>123</v>
      </c>
      <c r="AF137" s="435">
        <f t="shared" si="2"/>
        <v>128</v>
      </c>
      <c r="AG137" s="435">
        <f t="shared" si="2"/>
        <v>133</v>
      </c>
      <c r="AH137" s="435">
        <f t="shared" si="2"/>
        <v>137</v>
      </c>
      <c r="AI137" s="435">
        <f t="shared" si="2"/>
        <v>143</v>
      </c>
      <c r="AJ137" s="435">
        <f t="shared" si="2"/>
        <v>148</v>
      </c>
      <c r="AK137" s="435">
        <f t="shared" si="2"/>
        <v>153</v>
      </c>
      <c r="AL137" s="435">
        <f t="shared" si="2"/>
        <v>215</v>
      </c>
    </row>
    <row r="138" spans="1:38" hidden="1" x14ac:dyDescent="0.2">
      <c r="A138" s="418" t="s">
        <v>318</v>
      </c>
      <c r="B138" s="419">
        <v>3392</v>
      </c>
      <c r="C138" s="419">
        <v>3519</v>
      </c>
      <c r="D138" s="419">
        <v>3633</v>
      </c>
      <c r="E138" s="419">
        <v>3861</v>
      </c>
      <c r="F138" s="419">
        <v>4114</v>
      </c>
      <c r="G138" s="419">
        <v>4273</v>
      </c>
      <c r="H138" s="419">
        <v>4435</v>
      </c>
      <c r="I138" s="419">
        <v>4596</v>
      </c>
      <c r="J138" s="419">
        <v>4758</v>
      </c>
      <c r="K138" s="419">
        <v>4918</v>
      </c>
      <c r="L138" s="419">
        <v>5081</v>
      </c>
      <c r="M138" s="419">
        <v>5243</v>
      </c>
      <c r="N138" s="419">
        <v>5405</v>
      </c>
      <c r="O138" s="419">
        <v>5566</v>
      </c>
      <c r="P138" s="419">
        <v>5732</v>
      </c>
      <c r="Q138" s="423"/>
      <c r="R138" s="423"/>
      <c r="S138" s="423"/>
      <c r="T138" s="423"/>
      <c r="U138" s="421"/>
      <c r="V138" s="420">
        <f t="shared" si="1"/>
        <v>15</v>
      </c>
    </row>
    <row r="139" spans="1:38" hidden="1" x14ac:dyDescent="0.2">
      <c r="A139" s="416" t="s">
        <v>19</v>
      </c>
      <c r="B139" s="421">
        <v>1218</v>
      </c>
      <c r="C139" s="424"/>
      <c r="D139" s="424"/>
      <c r="E139" s="424"/>
      <c r="F139" s="424"/>
      <c r="G139" s="424"/>
      <c r="H139" s="424"/>
      <c r="I139" s="424"/>
      <c r="J139" s="424"/>
      <c r="K139" s="424"/>
      <c r="L139" s="424"/>
      <c r="M139" s="424"/>
      <c r="N139" s="424"/>
      <c r="O139" s="424"/>
      <c r="P139" s="424"/>
      <c r="Q139" s="423"/>
      <c r="R139" s="425"/>
      <c r="S139" s="425"/>
      <c r="T139" s="425"/>
      <c r="U139" s="424"/>
      <c r="V139" s="420">
        <f t="shared" si="1"/>
        <v>1</v>
      </c>
    </row>
    <row r="140" spans="1:38" hidden="1" x14ac:dyDescent="0.2">
      <c r="A140" s="416" t="s">
        <v>20</v>
      </c>
      <c r="B140" s="421">
        <v>1262.5</v>
      </c>
      <c r="C140" s="424"/>
      <c r="D140" s="424"/>
      <c r="E140" s="424"/>
      <c r="F140" s="424"/>
      <c r="G140" s="424"/>
      <c r="H140" s="424"/>
      <c r="I140" s="424"/>
      <c r="J140" s="424"/>
      <c r="K140" s="424"/>
      <c r="L140" s="424"/>
      <c r="M140" s="424"/>
      <c r="N140" s="424"/>
      <c r="O140" s="424"/>
      <c r="P140" s="424"/>
      <c r="Q140" s="423"/>
      <c r="R140" s="425"/>
      <c r="S140" s="425"/>
      <c r="T140" s="425"/>
      <c r="U140" s="424"/>
      <c r="V140" s="420">
        <f t="shared" si="1"/>
        <v>1</v>
      </c>
    </row>
    <row r="141" spans="1:38" hidden="1" x14ac:dyDescent="0.2">
      <c r="A141" s="426" t="s">
        <v>67</v>
      </c>
      <c r="B141" s="419">
        <v>2888</v>
      </c>
      <c r="C141" s="419">
        <v>2999</v>
      </c>
      <c r="D141" s="419">
        <v>3113</v>
      </c>
      <c r="E141" s="419">
        <v>3223</v>
      </c>
      <c r="F141" s="419">
        <v>3334</v>
      </c>
      <c r="G141" s="419">
        <v>3447</v>
      </c>
      <c r="H141" s="419">
        <v>3559</v>
      </c>
      <c r="I141" s="419">
        <v>3671</v>
      </c>
      <c r="J141" s="419">
        <v>3781</v>
      </c>
      <c r="K141" s="419">
        <v>3893</v>
      </c>
      <c r="L141" s="419">
        <v>4007</v>
      </c>
      <c r="M141" s="419"/>
      <c r="N141" s="419"/>
      <c r="O141" s="419"/>
      <c r="P141" s="419"/>
      <c r="Q141" s="423"/>
      <c r="R141" s="423"/>
      <c r="S141" s="423"/>
      <c r="T141" s="423"/>
      <c r="U141" s="421"/>
      <c r="V141" s="420">
        <f t="shared" si="1"/>
        <v>11</v>
      </c>
    </row>
    <row r="142" spans="1:38" hidden="1" x14ac:dyDescent="0.2">
      <c r="A142" s="426" t="s">
        <v>63</v>
      </c>
      <c r="B142" s="419">
        <v>2999</v>
      </c>
      <c r="C142" s="419">
        <v>3223</v>
      </c>
      <c r="D142" s="419">
        <v>3447</v>
      </c>
      <c r="E142" s="419">
        <v>3559</v>
      </c>
      <c r="F142" s="419">
        <v>3671</v>
      </c>
      <c r="G142" s="419">
        <v>3781</v>
      </c>
      <c r="H142" s="419">
        <v>3893</v>
      </c>
      <c r="I142" s="419">
        <v>4007</v>
      </c>
      <c r="J142" s="419">
        <v>4118</v>
      </c>
      <c r="K142" s="419">
        <v>4231</v>
      </c>
      <c r="L142" s="419"/>
      <c r="M142" s="419"/>
      <c r="N142" s="419"/>
      <c r="O142" s="419"/>
      <c r="P142" s="419"/>
      <c r="Q142" s="423"/>
      <c r="R142" s="423"/>
      <c r="S142" s="423"/>
      <c r="T142" s="423"/>
      <c r="U142" s="421"/>
      <c r="V142" s="420">
        <f t="shared" si="1"/>
        <v>10</v>
      </c>
    </row>
    <row r="143" spans="1:38" hidden="1" x14ac:dyDescent="0.2">
      <c r="A143" s="426" t="s">
        <v>64</v>
      </c>
      <c r="B143" s="419">
        <v>2999</v>
      </c>
      <c r="C143" s="419">
        <v>3223</v>
      </c>
      <c r="D143" s="419">
        <v>3447</v>
      </c>
      <c r="E143" s="419">
        <v>3559</v>
      </c>
      <c r="F143" s="419">
        <v>3671</v>
      </c>
      <c r="G143" s="419">
        <v>3781</v>
      </c>
      <c r="H143" s="419">
        <v>3893</v>
      </c>
      <c r="I143" s="419">
        <v>4007</v>
      </c>
      <c r="J143" s="419">
        <v>4118</v>
      </c>
      <c r="K143" s="419">
        <v>4231</v>
      </c>
      <c r="L143" s="419">
        <v>4344</v>
      </c>
      <c r="M143" s="419"/>
      <c r="N143" s="419"/>
      <c r="O143" s="419"/>
      <c r="P143" s="419"/>
      <c r="Q143" s="423"/>
      <c r="R143" s="423"/>
      <c r="S143" s="423"/>
      <c r="T143" s="423"/>
      <c r="U143" s="421"/>
      <c r="V143" s="420">
        <f t="shared" si="1"/>
        <v>11</v>
      </c>
    </row>
    <row r="144" spans="1:38" hidden="1" x14ac:dyDescent="0.2">
      <c r="A144" s="426" t="s">
        <v>65</v>
      </c>
      <c r="B144" s="419">
        <v>3113</v>
      </c>
      <c r="C144" s="419">
        <v>3447</v>
      </c>
      <c r="D144" s="419">
        <v>3671</v>
      </c>
      <c r="E144" s="419">
        <v>3893</v>
      </c>
      <c r="F144" s="419">
        <v>4118</v>
      </c>
      <c r="G144" s="419">
        <v>4231</v>
      </c>
      <c r="H144" s="419">
        <v>4344</v>
      </c>
      <c r="I144" s="419">
        <v>4454</v>
      </c>
      <c r="J144" s="419">
        <v>4566</v>
      </c>
      <c r="K144" s="419">
        <v>4676</v>
      </c>
      <c r="L144" s="419">
        <v>4791</v>
      </c>
      <c r="M144" s="419">
        <v>4902</v>
      </c>
      <c r="N144" s="419">
        <v>5014</v>
      </c>
      <c r="O144" s="419"/>
      <c r="P144" s="419"/>
      <c r="Q144" s="423"/>
      <c r="R144" s="423"/>
      <c r="S144" s="423"/>
      <c r="T144" s="423"/>
      <c r="U144" s="421"/>
      <c r="V144" s="420">
        <f t="shared" si="1"/>
        <v>13</v>
      </c>
    </row>
    <row r="145" spans="1:22" hidden="1" x14ac:dyDescent="0.2">
      <c r="A145" s="426" t="s">
        <v>66</v>
      </c>
      <c r="B145" s="419">
        <v>3113</v>
      </c>
      <c r="C145" s="419">
        <v>3447</v>
      </c>
      <c r="D145" s="419">
        <v>3671</v>
      </c>
      <c r="E145" s="419">
        <v>3893</v>
      </c>
      <c r="F145" s="419">
        <v>4118</v>
      </c>
      <c r="G145" s="419">
        <v>4231</v>
      </c>
      <c r="H145" s="419">
        <v>4344</v>
      </c>
      <c r="I145" s="419">
        <v>4454</v>
      </c>
      <c r="J145" s="419">
        <v>4566</v>
      </c>
      <c r="K145" s="419">
        <v>4676</v>
      </c>
      <c r="L145" s="419">
        <v>4791</v>
      </c>
      <c r="M145" s="419">
        <v>4902</v>
      </c>
      <c r="N145" s="419">
        <v>5014</v>
      </c>
      <c r="O145" s="419">
        <v>5124</v>
      </c>
      <c r="P145" s="419">
        <v>5236</v>
      </c>
      <c r="Q145" s="423"/>
      <c r="R145" s="423"/>
      <c r="S145" s="423"/>
      <c r="T145" s="423"/>
      <c r="U145" s="421"/>
      <c r="V145" s="420">
        <f t="shared" si="1"/>
        <v>15</v>
      </c>
    </row>
    <row r="146" spans="1:22" hidden="1" x14ac:dyDescent="0.2">
      <c r="A146" s="416">
        <v>1</v>
      </c>
      <c r="B146" s="421">
        <v>1594.2</v>
      </c>
      <c r="C146" s="421">
        <v>1610</v>
      </c>
      <c r="D146" s="419">
        <v>1677</v>
      </c>
      <c r="E146" s="419">
        <v>1707</v>
      </c>
      <c r="F146" s="419">
        <v>1742</v>
      </c>
      <c r="G146" s="419">
        <v>1778</v>
      </c>
      <c r="H146" s="419">
        <v>1825</v>
      </c>
      <c r="I146" s="419"/>
      <c r="J146" s="419"/>
      <c r="K146" s="419"/>
      <c r="L146" s="419"/>
      <c r="M146" s="419"/>
      <c r="N146" s="419"/>
      <c r="O146" s="419"/>
      <c r="P146" s="419"/>
      <c r="Q146" s="419"/>
      <c r="R146" s="419"/>
      <c r="S146" s="419"/>
      <c r="T146" s="423"/>
      <c r="U146" s="421"/>
      <c r="V146" s="420">
        <f t="shared" si="1"/>
        <v>7</v>
      </c>
    </row>
    <row r="147" spans="1:22" hidden="1" x14ac:dyDescent="0.2">
      <c r="A147" s="416">
        <v>2</v>
      </c>
      <c r="B147" s="421">
        <v>1594.2</v>
      </c>
      <c r="C147" s="419">
        <v>1644</v>
      </c>
      <c r="D147" s="419">
        <v>1707</v>
      </c>
      <c r="E147" s="419">
        <v>1778</v>
      </c>
      <c r="F147" s="419">
        <v>1825</v>
      </c>
      <c r="G147" s="419">
        <v>1878</v>
      </c>
      <c r="H147" s="419">
        <v>1944</v>
      </c>
      <c r="I147" s="419">
        <v>2006</v>
      </c>
      <c r="J147" s="419"/>
      <c r="K147" s="419"/>
      <c r="L147" s="419"/>
      <c r="M147" s="419"/>
      <c r="N147" s="419"/>
      <c r="O147" s="419"/>
      <c r="P147" s="419"/>
      <c r="Q147" s="419"/>
      <c r="R147" s="419"/>
      <c r="S147" s="419"/>
      <c r="T147" s="423"/>
      <c r="U147" s="421"/>
      <c r="V147" s="420">
        <f t="shared" si="1"/>
        <v>8</v>
      </c>
    </row>
    <row r="148" spans="1:22" hidden="1" x14ac:dyDescent="0.2">
      <c r="A148" s="416">
        <v>3</v>
      </c>
      <c r="B148" s="421">
        <v>1594.2</v>
      </c>
      <c r="C148" s="419">
        <v>1707</v>
      </c>
      <c r="D148" s="419">
        <v>1778</v>
      </c>
      <c r="E148" s="419">
        <v>1878</v>
      </c>
      <c r="F148" s="419">
        <v>1944</v>
      </c>
      <c r="G148" s="419">
        <v>2006</v>
      </c>
      <c r="H148" s="419">
        <v>2067</v>
      </c>
      <c r="I148" s="419">
        <v>2126</v>
      </c>
      <c r="J148" s="419">
        <v>2185</v>
      </c>
      <c r="K148" s="419"/>
      <c r="L148" s="419"/>
      <c r="M148" s="419"/>
      <c r="N148" s="419"/>
      <c r="O148" s="419"/>
      <c r="P148" s="419"/>
      <c r="Q148" s="419"/>
      <c r="R148" s="419"/>
      <c r="S148" s="419"/>
      <c r="T148" s="423"/>
      <c r="U148" s="421"/>
      <c r="V148" s="420">
        <f t="shared" si="1"/>
        <v>9</v>
      </c>
    </row>
    <row r="149" spans="1:22" hidden="1" x14ac:dyDescent="0.2">
      <c r="A149" s="416">
        <v>4</v>
      </c>
      <c r="B149" s="421">
        <v>1610</v>
      </c>
      <c r="C149" s="419">
        <v>1677</v>
      </c>
      <c r="D149" s="419">
        <v>1742</v>
      </c>
      <c r="E149" s="419">
        <v>1825</v>
      </c>
      <c r="F149" s="419">
        <v>1944</v>
      </c>
      <c r="G149" s="419">
        <v>2006</v>
      </c>
      <c r="H149" s="419">
        <v>2067</v>
      </c>
      <c r="I149" s="419">
        <v>2126</v>
      </c>
      <c r="J149" s="419">
        <v>2185</v>
      </c>
      <c r="K149" s="419">
        <v>2241</v>
      </c>
      <c r="L149" s="419">
        <v>2298</v>
      </c>
      <c r="M149" s="419"/>
      <c r="N149" s="419"/>
      <c r="O149" s="419"/>
      <c r="P149" s="419"/>
      <c r="Q149" s="419"/>
      <c r="R149" s="419"/>
      <c r="S149" s="419"/>
      <c r="T149" s="423"/>
      <c r="U149" s="421"/>
      <c r="V149" s="420">
        <f t="shared" si="1"/>
        <v>11</v>
      </c>
    </row>
    <row r="150" spans="1:22" hidden="1" x14ac:dyDescent="0.2">
      <c r="A150" s="416">
        <v>5</v>
      </c>
      <c r="B150" s="419">
        <v>1644</v>
      </c>
      <c r="C150" s="419">
        <v>1677</v>
      </c>
      <c r="D150" s="419">
        <v>1778</v>
      </c>
      <c r="E150" s="419">
        <v>1878</v>
      </c>
      <c r="F150" s="419">
        <v>2006</v>
      </c>
      <c r="G150" s="419">
        <v>2067</v>
      </c>
      <c r="H150" s="419">
        <v>2126</v>
      </c>
      <c r="I150" s="419">
        <v>2185</v>
      </c>
      <c r="J150" s="419">
        <v>2241</v>
      </c>
      <c r="K150" s="419">
        <v>2298</v>
      </c>
      <c r="L150" s="419">
        <v>2353</v>
      </c>
      <c r="M150" s="419">
        <v>2416</v>
      </c>
      <c r="N150" s="419"/>
      <c r="O150" s="419"/>
      <c r="P150" s="419"/>
      <c r="Q150" s="419"/>
      <c r="R150" s="419"/>
      <c r="S150" s="419"/>
      <c r="T150" s="423"/>
      <c r="U150" s="421"/>
      <c r="V150" s="420">
        <f t="shared" si="1"/>
        <v>12</v>
      </c>
    </row>
    <row r="151" spans="1:22" hidden="1" x14ac:dyDescent="0.2">
      <c r="A151" s="416">
        <v>6</v>
      </c>
      <c r="B151" s="419">
        <v>1707</v>
      </c>
      <c r="C151" s="419">
        <v>1778</v>
      </c>
      <c r="D151" s="419">
        <v>2006</v>
      </c>
      <c r="E151" s="419">
        <v>2126</v>
      </c>
      <c r="F151" s="419">
        <v>2185</v>
      </c>
      <c r="G151" s="419">
        <v>2241</v>
      </c>
      <c r="H151" s="419">
        <v>2298</v>
      </c>
      <c r="I151" s="419">
        <v>2353</v>
      </c>
      <c r="J151" s="419">
        <v>2416</v>
      </c>
      <c r="K151" s="419">
        <v>2475</v>
      </c>
      <c r="L151" s="419">
        <v>2531</v>
      </c>
      <c r="M151" s="419"/>
      <c r="N151" s="419"/>
      <c r="O151" s="419"/>
      <c r="P151" s="419"/>
      <c r="Q151" s="419"/>
      <c r="R151" s="419"/>
      <c r="S151" s="419"/>
      <c r="T151" s="423"/>
      <c r="U151" s="421"/>
      <c r="V151" s="420">
        <f t="shared" si="1"/>
        <v>11</v>
      </c>
    </row>
    <row r="152" spans="1:22" hidden="1" x14ac:dyDescent="0.2">
      <c r="A152" s="416">
        <v>7</v>
      </c>
      <c r="B152" s="419">
        <v>1825</v>
      </c>
      <c r="C152" s="419">
        <v>1878</v>
      </c>
      <c r="D152" s="419">
        <v>2006</v>
      </c>
      <c r="E152" s="419">
        <v>2241</v>
      </c>
      <c r="F152" s="419">
        <v>2353</v>
      </c>
      <c r="G152" s="419">
        <v>2416</v>
      </c>
      <c r="H152" s="419">
        <v>2475</v>
      </c>
      <c r="I152" s="419">
        <v>2531</v>
      </c>
      <c r="J152" s="419">
        <v>2590</v>
      </c>
      <c r="K152" s="419">
        <v>2653</v>
      </c>
      <c r="L152" s="419">
        <v>2719</v>
      </c>
      <c r="M152" s="419">
        <v>2791</v>
      </c>
      <c r="N152" s="419"/>
      <c r="O152" s="419"/>
      <c r="P152" s="419"/>
      <c r="Q152" s="419"/>
      <c r="R152" s="419"/>
      <c r="S152" s="419"/>
      <c r="T152" s="423"/>
      <c r="U152" s="421"/>
      <c r="V152" s="420">
        <f t="shared" si="1"/>
        <v>12</v>
      </c>
    </row>
    <row r="153" spans="1:22" hidden="1" x14ac:dyDescent="0.2">
      <c r="A153" s="416">
        <v>8</v>
      </c>
      <c r="B153" s="419">
        <v>2067</v>
      </c>
      <c r="C153" s="419">
        <v>2126</v>
      </c>
      <c r="D153" s="419">
        <v>2241</v>
      </c>
      <c r="E153" s="419">
        <v>2475</v>
      </c>
      <c r="F153" s="419">
        <v>2590</v>
      </c>
      <c r="G153" s="419">
        <v>2719</v>
      </c>
      <c r="H153" s="419">
        <v>2791</v>
      </c>
      <c r="I153" s="419">
        <v>2857</v>
      </c>
      <c r="J153" s="419">
        <v>2916</v>
      </c>
      <c r="K153" s="419">
        <v>2979</v>
      </c>
      <c r="L153" s="419">
        <v>3043</v>
      </c>
      <c r="M153" s="419">
        <v>3102</v>
      </c>
      <c r="N153" s="419">
        <v>3157</v>
      </c>
      <c r="O153" s="419"/>
      <c r="P153" s="419"/>
      <c r="Q153" s="419"/>
      <c r="R153" s="419"/>
      <c r="S153" s="419"/>
      <c r="T153" s="423"/>
      <c r="U153" s="421"/>
      <c r="V153" s="420">
        <f t="shared" si="1"/>
        <v>13</v>
      </c>
    </row>
    <row r="154" spans="1:22" hidden="1" x14ac:dyDescent="0.2">
      <c r="A154" s="416">
        <v>9</v>
      </c>
      <c r="B154" s="419">
        <v>2394</v>
      </c>
      <c r="C154" s="419">
        <v>2516</v>
      </c>
      <c r="D154" s="419">
        <v>2762</v>
      </c>
      <c r="E154" s="419">
        <v>2903</v>
      </c>
      <c r="F154" s="419">
        <v>3025</v>
      </c>
      <c r="G154" s="419">
        <v>3149</v>
      </c>
      <c r="H154" s="419">
        <v>3266</v>
      </c>
      <c r="I154" s="419">
        <v>3383</v>
      </c>
      <c r="J154" s="419">
        <v>3510</v>
      </c>
      <c r="K154" s="419">
        <v>3622</v>
      </c>
      <c r="L154" s="419"/>
      <c r="M154" s="419"/>
      <c r="N154" s="419"/>
      <c r="O154" s="419"/>
      <c r="P154" s="419"/>
      <c r="Q154" s="419"/>
      <c r="R154" s="419"/>
      <c r="S154" s="419"/>
      <c r="T154" s="423"/>
      <c r="U154" s="421"/>
      <c r="V154" s="420">
        <f t="shared" si="1"/>
        <v>10</v>
      </c>
    </row>
    <row r="155" spans="1:22" hidden="1" x14ac:dyDescent="0.2">
      <c r="A155" s="416">
        <v>10</v>
      </c>
      <c r="B155" s="419">
        <v>2377</v>
      </c>
      <c r="C155" s="419">
        <v>2616</v>
      </c>
      <c r="D155" s="419">
        <v>2745</v>
      </c>
      <c r="E155" s="419">
        <v>2886</v>
      </c>
      <c r="F155" s="419">
        <v>3008</v>
      </c>
      <c r="G155" s="419">
        <v>3232</v>
      </c>
      <c r="H155" s="419">
        <v>3249</v>
      </c>
      <c r="I155" s="419">
        <v>3365</v>
      </c>
      <c r="J155" s="419">
        <v>3493</v>
      </c>
      <c r="K155" s="419">
        <v>3604</v>
      </c>
      <c r="L155" s="419">
        <v>3721</v>
      </c>
      <c r="M155" s="419">
        <v>3833</v>
      </c>
      <c r="N155" s="419">
        <v>3961</v>
      </c>
      <c r="O155" s="419"/>
      <c r="P155" s="419"/>
      <c r="Q155" s="419"/>
      <c r="R155" s="419"/>
      <c r="S155" s="419"/>
      <c r="T155" s="423"/>
      <c r="U155" s="421"/>
      <c r="V155" s="420">
        <f t="shared" si="1"/>
        <v>13</v>
      </c>
    </row>
    <row r="156" spans="1:22" hidden="1" x14ac:dyDescent="0.2">
      <c r="A156" s="416">
        <v>11</v>
      </c>
      <c r="B156" s="419">
        <v>2499</v>
      </c>
      <c r="C156" s="419">
        <v>2616</v>
      </c>
      <c r="D156" s="419">
        <v>2745</v>
      </c>
      <c r="E156" s="419">
        <v>2886</v>
      </c>
      <c r="F156" s="419">
        <v>3008</v>
      </c>
      <c r="G156" s="419">
        <v>3132</v>
      </c>
      <c r="H156" s="419">
        <v>3249</v>
      </c>
      <c r="I156" s="419">
        <v>3493</v>
      </c>
      <c r="J156" s="419">
        <v>3604</v>
      </c>
      <c r="K156" s="419">
        <v>3721</v>
      </c>
      <c r="L156" s="419">
        <v>3833</v>
      </c>
      <c r="M156" s="419">
        <v>3961</v>
      </c>
      <c r="N156" s="419">
        <v>4086</v>
      </c>
      <c r="O156" s="419">
        <v>4209</v>
      </c>
      <c r="P156" s="419">
        <v>4326</v>
      </c>
      <c r="Q156" s="419">
        <v>4446</v>
      </c>
      <c r="R156" s="419">
        <v>4559</v>
      </c>
      <c r="S156" s="419">
        <v>4621</v>
      </c>
      <c r="T156" s="423"/>
      <c r="U156" s="421"/>
      <c r="V156" s="420">
        <f t="shared" si="1"/>
        <v>18</v>
      </c>
    </row>
    <row r="157" spans="1:22" hidden="1" x14ac:dyDescent="0.2">
      <c r="A157" s="416">
        <v>12</v>
      </c>
      <c r="B157" s="419">
        <v>3365</v>
      </c>
      <c r="C157" s="419">
        <v>3493</v>
      </c>
      <c r="D157" s="419">
        <v>3604</v>
      </c>
      <c r="E157" s="419">
        <v>3721</v>
      </c>
      <c r="F157" s="419">
        <v>3833</v>
      </c>
      <c r="G157" s="419">
        <v>3961</v>
      </c>
      <c r="H157" s="419">
        <v>4209</v>
      </c>
      <c r="I157" s="419">
        <v>4326</v>
      </c>
      <c r="J157" s="419">
        <v>4446</v>
      </c>
      <c r="K157" s="419">
        <v>4559</v>
      </c>
      <c r="L157" s="419">
        <v>4682</v>
      </c>
      <c r="M157" s="419">
        <v>4802</v>
      </c>
      <c r="N157" s="419">
        <v>4916</v>
      </c>
      <c r="O157" s="419">
        <v>5036</v>
      </c>
      <c r="P157" s="419">
        <v>5183</v>
      </c>
      <c r="Q157" s="419">
        <v>5258</v>
      </c>
      <c r="R157" s="419"/>
      <c r="S157" s="419"/>
      <c r="T157" s="423"/>
      <c r="U157" s="421"/>
      <c r="V157" s="420">
        <f t="shared" si="1"/>
        <v>16</v>
      </c>
    </row>
    <row r="158" spans="1:22" hidden="1" x14ac:dyDescent="0.2">
      <c r="A158" s="416">
        <v>13</v>
      </c>
      <c r="B158" s="419">
        <v>4086</v>
      </c>
      <c r="C158" s="419">
        <v>4209</v>
      </c>
      <c r="D158" s="419">
        <v>4326</v>
      </c>
      <c r="E158" s="419">
        <v>4446</v>
      </c>
      <c r="F158" s="419">
        <v>4559</v>
      </c>
      <c r="G158" s="419">
        <v>4802</v>
      </c>
      <c r="H158" s="419">
        <v>4916</v>
      </c>
      <c r="I158" s="419">
        <v>5036</v>
      </c>
      <c r="J158" s="419">
        <v>5183</v>
      </c>
      <c r="K158" s="419">
        <v>5332</v>
      </c>
      <c r="L158" s="419">
        <v>5481</v>
      </c>
      <c r="M158" s="419">
        <v>5629</v>
      </c>
      <c r="N158" s="419">
        <v>5702</v>
      </c>
      <c r="O158" s="419"/>
      <c r="P158" s="419"/>
      <c r="Q158" s="419"/>
      <c r="R158" s="419"/>
      <c r="S158" s="419"/>
      <c r="T158" s="423"/>
      <c r="U158" s="421"/>
      <c r="V158" s="420">
        <f t="shared" si="1"/>
        <v>13</v>
      </c>
    </row>
    <row r="159" spans="1:22" hidden="1" x14ac:dyDescent="0.2">
      <c r="A159" s="416">
        <v>14</v>
      </c>
      <c r="B159" s="419">
        <v>4682</v>
      </c>
      <c r="C159" s="419">
        <v>4802</v>
      </c>
      <c r="D159" s="419">
        <v>5036</v>
      </c>
      <c r="E159" s="419">
        <v>5183</v>
      </c>
      <c r="F159" s="419">
        <v>5332</v>
      </c>
      <c r="G159" s="419">
        <v>5481</v>
      </c>
      <c r="H159" s="419">
        <v>5629</v>
      </c>
      <c r="I159" s="419">
        <v>5779</v>
      </c>
      <c r="J159" s="419">
        <v>5938</v>
      </c>
      <c r="K159" s="419">
        <v>6097</v>
      </c>
      <c r="L159" s="419">
        <v>6264</v>
      </c>
      <c r="M159" s="419"/>
      <c r="N159" s="419"/>
      <c r="O159" s="419"/>
      <c r="P159" s="419"/>
      <c r="Q159" s="419"/>
      <c r="R159" s="419"/>
      <c r="S159" s="419"/>
      <c r="T159" s="423"/>
      <c r="U159" s="421"/>
      <c r="V159" s="420">
        <f t="shared" si="1"/>
        <v>11</v>
      </c>
    </row>
    <row r="160" spans="1:22" hidden="1" x14ac:dyDescent="0.2">
      <c r="A160" s="416">
        <v>15</v>
      </c>
      <c r="B160" s="419">
        <v>4916</v>
      </c>
      <c r="C160" s="419">
        <v>5036</v>
      </c>
      <c r="D160" s="419">
        <v>5183</v>
      </c>
      <c r="E160" s="419">
        <v>5481</v>
      </c>
      <c r="F160" s="419">
        <v>5629</v>
      </c>
      <c r="G160" s="419">
        <v>5779</v>
      </c>
      <c r="H160" s="419">
        <v>5938</v>
      </c>
      <c r="I160" s="419">
        <v>6097</v>
      </c>
      <c r="J160" s="419">
        <v>6264</v>
      </c>
      <c r="K160" s="419">
        <v>6463</v>
      </c>
      <c r="L160" s="419">
        <v>6671</v>
      </c>
      <c r="M160" s="419">
        <v>6883</v>
      </c>
      <c r="N160" s="419"/>
      <c r="O160" s="419"/>
      <c r="P160" s="419"/>
      <c r="Q160" s="419"/>
      <c r="R160" s="419"/>
      <c r="S160" s="419"/>
      <c r="T160" s="427"/>
      <c r="U160" s="428"/>
      <c r="V160" s="420">
        <f t="shared" si="1"/>
        <v>12</v>
      </c>
    </row>
    <row r="161" spans="1:22" hidden="1" x14ac:dyDescent="0.2">
      <c r="A161" s="416">
        <v>16</v>
      </c>
      <c r="B161" s="419">
        <v>5332</v>
      </c>
      <c r="C161" s="419">
        <v>5481</v>
      </c>
      <c r="D161" s="419">
        <v>5629</v>
      </c>
      <c r="E161" s="419">
        <v>5938</v>
      </c>
      <c r="F161" s="419">
        <v>6097</v>
      </c>
      <c r="G161" s="419">
        <v>6264</v>
      </c>
      <c r="H161" s="419">
        <v>6463</v>
      </c>
      <c r="I161" s="419">
        <v>6671</v>
      </c>
      <c r="J161" s="419">
        <v>6883</v>
      </c>
      <c r="K161" s="419">
        <v>7104</v>
      </c>
      <c r="L161" s="419">
        <v>7327</v>
      </c>
      <c r="M161" s="419">
        <v>7561</v>
      </c>
      <c r="N161" s="419"/>
      <c r="O161" s="419"/>
      <c r="P161" s="419"/>
      <c r="Q161" s="419"/>
      <c r="R161" s="419"/>
      <c r="S161" s="419"/>
      <c r="T161" s="427"/>
      <c r="U161" s="428"/>
      <c r="V161" s="420">
        <f t="shared" si="1"/>
        <v>12</v>
      </c>
    </row>
    <row r="162" spans="1:22" hidden="1" x14ac:dyDescent="0.2">
      <c r="A162" s="369"/>
      <c r="B162" s="369"/>
      <c r="C162" s="369"/>
      <c r="D162" s="369"/>
      <c r="E162" s="369"/>
      <c r="F162" s="369"/>
      <c r="G162" s="369"/>
      <c r="H162" s="369"/>
      <c r="I162" s="369"/>
      <c r="J162" s="369"/>
      <c r="K162" s="369"/>
      <c r="L162" s="369"/>
      <c r="M162" s="369"/>
      <c r="N162" s="369"/>
      <c r="O162" s="369"/>
      <c r="P162" s="369"/>
      <c r="Q162" s="369"/>
      <c r="R162" s="369"/>
      <c r="S162" s="369"/>
      <c r="T162" s="369"/>
      <c r="U162" s="369"/>
      <c r="V162" s="369"/>
    </row>
    <row r="163" spans="1:22" x14ac:dyDescent="0.2">
      <c r="A163" s="414" t="s">
        <v>1</v>
      </c>
      <c r="B163" s="698">
        <v>43466</v>
      </c>
      <c r="C163" s="698"/>
      <c r="D163" s="415"/>
      <c r="E163" s="416"/>
      <c r="F163" s="416"/>
      <c r="G163" s="416"/>
      <c r="H163" s="416"/>
      <c r="I163" s="416"/>
      <c r="J163" s="416"/>
      <c r="K163" s="416"/>
      <c r="L163" s="416"/>
      <c r="M163" s="416"/>
      <c r="N163" s="416"/>
      <c r="O163" s="416"/>
      <c r="P163" s="416"/>
      <c r="Q163" s="416"/>
      <c r="R163" s="416"/>
      <c r="S163" s="416"/>
      <c r="T163" s="416"/>
      <c r="U163" s="416"/>
      <c r="V163" s="416"/>
    </row>
    <row r="164" spans="1:22" x14ac:dyDescent="0.2">
      <c r="A164" s="415" t="s">
        <v>2</v>
      </c>
      <c r="B164" s="417">
        <v>1</v>
      </c>
      <c r="C164" s="417">
        <v>2</v>
      </c>
      <c r="D164" s="417">
        <v>3</v>
      </c>
      <c r="E164" s="417">
        <v>4</v>
      </c>
      <c r="F164" s="417">
        <v>5</v>
      </c>
      <c r="G164" s="417">
        <v>6</v>
      </c>
      <c r="H164" s="417">
        <v>7</v>
      </c>
      <c r="I164" s="417">
        <v>8</v>
      </c>
      <c r="J164" s="417">
        <v>9</v>
      </c>
      <c r="K164" s="417">
        <v>10</v>
      </c>
      <c r="L164" s="417">
        <v>11</v>
      </c>
      <c r="M164" s="417">
        <v>12</v>
      </c>
      <c r="N164" s="417">
        <v>13</v>
      </c>
      <c r="O164" s="417">
        <v>14</v>
      </c>
      <c r="P164" s="417">
        <v>15</v>
      </c>
      <c r="Q164" s="417">
        <v>16</v>
      </c>
      <c r="R164" s="417">
        <v>17</v>
      </c>
      <c r="S164" s="417">
        <v>18</v>
      </c>
      <c r="T164" s="417">
        <v>19</v>
      </c>
      <c r="U164" s="417">
        <v>20</v>
      </c>
      <c r="V164" s="417" t="s">
        <v>27</v>
      </c>
    </row>
    <row r="165" spans="1:22" x14ac:dyDescent="0.2">
      <c r="A165" s="418" t="s">
        <v>11</v>
      </c>
      <c r="B165" s="419">
        <v>2648</v>
      </c>
      <c r="C165" s="419">
        <v>2766</v>
      </c>
      <c r="D165" s="419">
        <v>2895</v>
      </c>
      <c r="E165" s="419">
        <v>3036</v>
      </c>
      <c r="F165" s="419">
        <v>3157</v>
      </c>
      <c r="G165" s="419">
        <v>3282</v>
      </c>
      <c r="H165" s="419">
        <v>3397</v>
      </c>
      <c r="I165" s="419">
        <v>3514</v>
      </c>
      <c r="J165" s="419">
        <v>3639</v>
      </c>
      <c r="K165" s="419">
        <v>3755</v>
      </c>
      <c r="L165" s="419">
        <v>3867</v>
      </c>
      <c r="M165" s="419">
        <v>3982</v>
      </c>
      <c r="N165" s="419">
        <v>4176</v>
      </c>
      <c r="O165" s="419"/>
      <c r="P165" s="419"/>
      <c r="Q165" s="419"/>
      <c r="R165" s="419"/>
      <c r="S165" s="419"/>
      <c r="T165" s="419"/>
      <c r="U165" s="419"/>
      <c r="V165" s="420">
        <f t="shared" ref="V165:V174" si="3">COUNTA(B165:U165)</f>
        <v>13</v>
      </c>
    </row>
    <row r="166" spans="1:22" x14ac:dyDescent="0.2">
      <c r="A166" s="418" t="s">
        <v>12</v>
      </c>
      <c r="B166" s="419">
        <v>2704</v>
      </c>
      <c r="C166" s="419">
        <v>2835</v>
      </c>
      <c r="D166" s="419">
        <v>2973</v>
      </c>
      <c r="E166" s="419">
        <v>3098</v>
      </c>
      <c r="F166" s="419">
        <v>3220</v>
      </c>
      <c r="G166" s="419">
        <v>3338</v>
      </c>
      <c r="H166" s="419">
        <v>3453</v>
      </c>
      <c r="I166" s="419">
        <v>3580</v>
      </c>
      <c r="J166" s="419">
        <v>3694</v>
      </c>
      <c r="K166" s="419">
        <v>3808</v>
      </c>
      <c r="L166" s="419">
        <v>3923</v>
      </c>
      <c r="M166" s="419">
        <v>4048</v>
      </c>
      <c r="N166" s="419">
        <v>4176</v>
      </c>
      <c r="O166" s="419">
        <v>4297</v>
      </c>
      <c r="P166" s="419">
        <v>4416</v>
      </c>
      <c r="Q166" s="419">
        <v>4533</v>
      </c>
      <c r="R166" s="419">
        <v>4649</v>
      </c>
      <c r="S166" s="419">
        <v>4709</v>
      </c>
      <c r="T166" s="419"/>
      <c r="U166" s="419"/>
      <c r="V166" s="420">
        <f t="shared" si="3"/>
        <v>18</v>
      </c>
    </row>
    <row r="167" spans="1:22" x14ac:dyDescent="0.2">
      <c r="A167" s="418" t="s">
        <v>13</v>
      </c>
      <c r="B167" s="419">
        <v>2835</v>
      </c>
      <c r="C167" s="419">
        <v>2973</v>
      </c>
      <c r="D167" s="419">
        <v>3220</v>
      </c>
      <c r="E167" s="419">
        <v>3453</v>
      </c>
      <c r="F167" s="419">
        <v>3580</v>
      </c>
      <c r="G167" s="419">
        <v>3694</v>
      </c>
      <c r="H167" s="419">
        <v>3808</v>
      </c>
      <c r="I167" s="419">
        <v>3923</v>
      </c>
      <c r="J167" s="419">
        <v>4048</v>
      </c>
      <c r="K167" s="419">
        <v>4176</v>
      </c>
      <c r="L167" s="419">
        <v>4297</v>
      </c>
      <c r="M167" s="419">
        <v>4416</v>
      </c>
      <c r="N167" s="419">
        <v>4533</v>
      </c>
      <c r="O167" s="419">
        <v>4649</v>
      </c>
      <c r="P167" s="419">
        <v>4770</v>
      </c>
      <c r="Q167" s="419">
        <v>4890</v>
      </c>
      <c r="R167" s="419">
        <v>5003</v>
      </c>
      <c r="S167" s="419">
        <v>5123</v>
      </c>
      <c r="T167" s="419">
        <v>5272</v>
      </c>
      <c r="U167" s="419">
        <v>5345</v>
      </c>
      <c r="V167" s="420">
        <f t="shared" si="3"/>
        <v>20</v>
      </c>
    </row>
    <row r="168" spans="1:22" x14ac:dyDescent="0.2">
      <c r="A168" s="418" t="s">
        <v>14</v>
      </c>
      <c r="B168" s="419">
        <v>2973</v>
      </c>
      <c r="C168" s="419">
        <v>3220</v>
      </c>
      <c r="D168" s="419">
        <v>3453</v>
      </c>
      <c r="E168" s="419">
        <v>3694</v>
      </c>
      <c r="F168" s="419">
        <v>3923</v>
      </c>
      <c r="G168" s="419">
        <v>4176</v>
      </c>
      <c r="H168" s="419">
        <v>4297</v>
      </c>
      <c r="I168" s="419">
        <v>4416</v>
      </c>
      <c r="J168" s="419">
        <v>4533</v>
      </c>
      <c r="K168" s="419">
        <v>4649</v>
      </c>
      <c r="L168" s="419">
        <v>4770</v>
      </c>
      <c r="M168" s="419">
        <v>4890</v>
      </c>
      <c r="N168" s="419">
        <v>5003</v>
      </c>
      <c r="O168" s="419">
        <v>5123</v>
      </c>
      <c r="P168" s="419">
        <v>5272</v>
      </c>
      <c r="Q168" s="419">
        <v>5420</v>
      </c>
      <c r="R168" s="419">
        <v>5569</v>
      </c>
      <c r="S168" s="419">
        <v>5718</v>
      </c>
      <c r="T168" s="419">
        <v>5789</v>
      </c>
      <c r="U168" s="419"/>
      <c r="V168" s="420">
        <f t="shared" si="3"/>
        <v>19</v>
      </c>
    </row>
    <row r="169" spans="1:22" x14ac:dyDescent="0.2">
      <c r="A169" s="418" t="s">
        <v>3</v>
      </c>
      <c r="B169" s="419">
        <v>2888</v>
      </c>
      <c r="C169" s="419">
        <v>2999</v>
      </c>
      <c r="D169" s="419">
        <v>3113</v>
      </c>
      <c r="E169" s="419">
        <v>3223</v>
      </c>
      <c r="F169" s="419">
        <v>3334</v>
      </c>
      <c r="G169" s="419">
        <v>3447</v>
      </c>
      <c r="H169" s="419">
        <v>3559</v>
      </c>
      <c r="I169" s="419">
        <v>3671</v>
      </c>
      <c r="J169" s="419">
        <v>3781</v>
      </c>
      <c r="K169" s="419">
        <v>3893</v>
      </c>
      <c r="L169" s="419">
        <v>4007</v>
      </c>
      <c r="M169" s="419">
        <v>4118</v>
      </c>
      <c r="N169" s="419">
        <v>4231</v>
      </c>
      <c r="O169" s="419"/>
      <c r="P169" s="419"/>
      <c r="Q169" s="419"/>
      <c r="R169" s="419"/>
      <c r="S169" s="419"/>
      <c r="T169" s="421"/>
      <c r="U169" s="421"/>
      <c r="V169" s="420">
        <f t="shared" si="3"/>
        <v>13</v>
      </c>
    </row>
    <row r="170" spans="1:22" x14ac:dyDescent="0.2">
      <c r="A170" s="418" t="s">
        <v>4</v>
      </c>
      <c r="B170" s="419">
        <v>2999</v>
      </c>
      <c r="C170" s="419">
        <v>3223</v>
      </c>
      <c r="D170" s="419">
        <v>3447</v>
      </c>
      <c r="E170" s="419">
        <v>3559</v>
      </c>
      <c r="F170" s="419">
        <v>3671</v>
      </c>
      <c r="G170" s="419">
        <v>3781</v>
      </c>
      <c r="H170" s="419">
        <v>3893</v>
      </c>
      <c r="I170" s="419">
        <v>4007</v>
      </c>
      <c r="J170" s="419">
        <v>4118</v>
      </c>
      <c r="K170" s="419">
        <v>4231</v>
      </c>
      <c r="L170" s="419">
        <v>4344</v>
      </c>
      <c r="M170" s="419">
        <v>4454</v>
      </c>
      <c r="N170" s="419">
        <v>4566</v>
      </c>
      <c r="O170" s="419">
        <v>4676</v>
      </c>
      <c r="P170" s="419">
        <v>4791</v>
      </c>
      <c r="Q170" s="419"/>
      <c r="R170" s="419"/>
      <c r="S170" s="419"/>
      <c r="T170" s="421"/>
      <c r="U170" s="421"/>
      <c r="V170" s="420">
        <f t="shared" si="3"/>
        <v>15</v>
      </c>
    </row>
    <row r="171" spans="1:22" x14ac:dyDescent="0.2">
      <c r="A171" s="418" t="s">
        <v>5</v>
      </c>
      <c r="B171" s="419">
        <v>2999</v>
      </c>
      <c r="C171" s="419">
        <v>3223</v>
      </c>
      <c r="D171" s="419">
        <v>3447</v>
      </c>
      <c r="E171" s="419">
        <v>3559</v>
      </c>
      <c r="F171" s="419">
        <v>3671</v>
      </c>
      <c r="G171" s="419">
        <v>3781</v>
      </c>
      <c r="H171" s="419">
        <v>3893</v>
      </c>
      <c r="I171" s="419">
        <v>4007</v>
      </c>
      <c r="J171" s="419">
        <v>4118</v>
      </c>
      <c r="K171" s="419">
        <v>4231</v>
      </c>
      <c r="L171" s="419">
        <v>4344</v>
      </c>
      <c r="M171" s="419">
        <v>4454</v>
      </c>
      <c r="N171" s="419">
        <v>4566</v>
      </c>
      <c r="O171" s="419">
        <v>4676</v>
      </c>
      <c r="P171" s="419">
        <v>4791</v>
      </c>
      <c r="Q171" s="419">
        <v>4902</v>
      </c>
      <c r="R171" s="419">
        <v>5014</v>
      </c>
      <c r="S171" s="419"/>
      <c r="T171" s="421"/>
      <c r="U171" s="421"/>
      <c r="V171" s="420">
        <f t="shared" si="3"/>
        <v>17</v>
      </c>
    </row>
    <row r="172" spans="1:22" x14ac:dyDescent="0.2">
      <c r="A172" s="418" t="s">
        <v>6</v>
      </c>
      <c r="B172" s="419">
        <v>3113</v>
      </c>
      <c r="C172" s="419">
        <v>3447</v>
      </c>
      <c r="D172" s="419">
        <v>3671</v>
      </c>
      <c r="E172" s="419">
        <v>3893</v>
      </c>
      <c r="F172" s="419">
        <v>4118</v>
      </c>
      <c r="G172" s="419">
        <v>4231</v>
      </c>
      <c r="H172" s="419">
        <v>4344</v>
      </c>
      <c r="I172" s="419">
        <v>4454</v>
      </c>
      <c r="J172" s="419">
        <v>4566</v>
      </c>
      <c r="K172" s="419">
        <v>4676</v>
      </c>
      <c r="L172" s="419">
        <v>4791</v>
      </c>
      <c r="M172" s="419">
        <v>4902</v>
      </c>
      <c r="N172" s="419">
        <v>5014</v>
      </c>
      <c r="O172" s="419">
        <v>5124</v>
      </c>
      <c r="P172" s="419">
        <v>5236</v>
      </c>
      <c r="Q172" s="419">
        <v>5350</v>
      </c>
      <c r="R172" s="419"/>
      <c r="S172" s="419"/>
      <c r="T172" s="421"/>
      <c r="U172" s="421"/>
      <c r="V172" s="420">
        <f t="shared" si="3"/>
        <v>16</v>
      </c>
    </row>
    <row r="173" spans="1:22" x14ac:dyDescent="0.2">
      <c r="A173" s="418" t="s">
        <v>7</v>
      </c>
      <c r="B173" s="419">
        <v>3113</v>
      </c>
      <c r="C173" s="419">
        <v>3447</v>
      </c>
      <c r="D173" s="419">
        <v>3671</v>
      </c>
      <c r="E173" s="419">
        <v>3893</v>
      </c>
      <c r="F173" s="419">
        <v>4118</v>
      </c>
      <c r="G173" s="419">
        <v>4231</v>
      </c>
      <c r="H173" s="419">
        <v>4344</v>
      </c>
      <c r="I173" s="419">
        <v>4454</v>
      </c>
      <c r="J173" s="419">
        <v>4566</v>
      </c>
      <c r="K173" s="419">
        <v>4676</v>
      </c>
      <c r="L173" s="419">
        <v>4791</v>
      </c>
      <c r="M173" s="419">
        <v>4902</v>
      </c>
      <c r="N173" s="419">
        <v>5014</v>
      </c>
      <c r="O173" s="419">
        <v>5124</v>
      </c>
      <c r="P173" s="419">
        <v>5236</v>
      </c>
      <c r="Q173" s="419">
        <v>5350</v>
      </c>
      <c r="R173" s="419">
        <v>5461</v>
      </c>
      <c r="S173" s="419">
        <v>5572</v>
      </c>
      <c r="T173" s="421"/>
      <c r="U173" s="421"/>
      <c r="V173" s="420">
        <f t="shared" si="3"/>
        <v>18</v>
      </c>
    </row>
    <row r="174" spans="1:22" x14ac:dyDescent="0.2">
      <c r="A174" s="418" t="s">
        <v>8</v>
      </c>
      <c r="B174" s="419">
        <v>3160</v>
      </c>
      <c r="C174" s="419">
        <v>3392</v>
      </c>
      <c r="D174" s="419">
        <v>3630</v>
      </c>
      <c r="E174" s="419">
        <v>3857</v>
      </c>
      <c r="F174" s="419">
        <v>4109</v>
      </c>
      <c r="G174" s="419">
        <v>4231</v>
      </c>
      <c r="H174" s="419">
        <v>4348</v>
      </c>
      <c r="I174" s="419">
        <v>4467</v>
      </c>
      <c r="J174" s="419">
        <v>4580</v>
      </c>
      <c r="K174" s="419">
        <v>4702</v>
      </c>
      <c r="L174" s="419">
        <v>4820</v>
      </c>
      <c r="M174" s="419">
        <v>4934</v>
      </c>
      <c r="N174" s="419">
        <v>5052</v>
      </c>
      <c r="O174" s="419">
        <v>5200</v>
      </c>
      <c r="P174" s="419">
        <v>5349</v>
      </c>
      <c r="Q174" s="419">
        <v>5496</v>
      </c>
      <c r="R174" s="419">
        <v>5644</v>
      </c>
      <c r="S174" s="419">
        <v>5715</v>
      </c>
      <c r="T174" s="421"/>
      <c r="U174" s="421"/>
      <c r="V174" s="420">
        <f t="shared" si="3"/>
        <v>18</v>
      </c>
    </row>
    <row r="175" spans="1:22" x14ac:dyDescent="0.2">
      <c r="A175" s="418" t="s">
        <v>9</v>
      </c>
      <c r="B175" s="419">
        <v>3276</v>
      </c>
      <c r="C175" s="419">
        <v>3517</v>
      </c>
      <c r="D175" s="419">
        <v>3744</v>
      </c>
      <c r="E175" s="419">
        <v>3983</v>
      </c>
      <c r="F175" s="419">
        <v>4231</v>
      </c>
      <c r="G175" s="419">
        <v>4467</v>
      </c>
      <c r="H175" s="419">
        <v>4702</v>
      </c>
      <c r="I175" s="419">
        <v>4820</v>
      </c>
      <c r="J175" s="419">
        <v>4934</v>
      </c>
      <c r="K175" s="419">
        <v>5052</v>
      </c>
      <c r="L175" s="419">
        <v>5200</v>
      </c>
      <c r="M175" s="419">
        <v>5349</v>
      </c>
      <c r="N175" s="419">
        <v>5496</v>
      </c>
      <c r="O175" s="419">
        <v>5644</v>
      </c>
      <c r="P175" s="419">
        <v>5794</v>
      </c>
      <c r="Q175" s="419">
        <v>5951</v>
      </c>
      <c r="R175" s="419">
        <v>6111</v>
      </c>
      <c r="S175" s="419">
        <v>6276</v>
      </c>
      <c r="T175" s="421"/>
      <c r="U175" s="421"/>
      <c r="V175" s="420">
        <f>COUNTA(B175:U175)</f>
        <v>18</v>
      </c>
    </row>
    <row r="176" spans="1:22" x14ac:dyDescent="0.2">
      <c r="A176" s="422" t="s">
        <v>68</v>
      </c>
      <c r="B176" s="421">
        <v>1594.2</v>
      </c>
      <c r="C176" s="421">
        <v>1610</v>
      </c>
      <c r="D176" s="421">
        <v>1677</v>
      </c>
      <c r="E176" s="421">
        <v>1707</v>
      </c>
      <c r="F176" s="421">
        <v>1742</v>
      </c>
      <c r="G176" s="421">
        <v>1778</v>
      </c>
      <c r="H176" s="421">
        <v>1825</v>
      </c>
      <c r="I176" s="421"/>
      <c r="J176" s="423"/>
      <c r="K176" s="423"/>
      <c r="L176" s="423"/>
      <c r="M176" s="423"/>
      <c r="N176" s="423"/>
      <c r="O176" s="423"/>
      <c r="P176" s="423"/>
      <c r="Q176" s="423"/>
      <c r="R176" s="423"/>
      <c r="S176" s="423"/>
      <c r="T176" s="423"/>
      <c r="U176" s="421"/>
      <c r="V176" s="420">
        <f t="shared" ref="V176:V206" si="4">COUNTA(B176:U176)</f>
        <v>7</v>
      </c>
    </row>
    <row r="177" spans="1:38" x14ac:dyDescent="0.2">
      <c r="A177" s="416" t="s">
        <v>69</v>
      </c>
      <c r="B177" s="421">
        <v>1594.2</v>
      </c>
      <c r="C177" s="421">
        <v>1644</v>
      </c>
      <c r="D177" s="421">
        <v>1707</v>
      </c>
      <c r="E177" s="421">
        <v>1778</v>
      </c>
      <c r="F177" s="421">
        <v>1825</v>
      </c>
      <c r="G177" s="421">
        <v>1878</v>
      </c>
      <c r="H177" s="421">
        <v>1944</v>
      </c>
      <c r="I177" s="421">
        <v>2006</v>
      </c>
      <c r="J177" s="423"/>
      <c r="K177" s="423"/>
      <c r="L177" s="423"/>
      <c r="M177" s="423"/>
      <c r="N177" s="423"/>
      <c r="O177" s="423"/>
      <c r="P177" s="423"/>
      <c r="Q177" s="423"/>
      <c r="R177" s="423"/>
      <c r="S177" s="423"/>
      <c r="T177" s="423"/>
      <c r="U177" s="421"/>
      <c r="V177" s="420">
        <f t="shared" si="4"/>
        <v>8</v>
      </c>
    </row>
    <row r="178" spans="1:38" x14ac:dyDescent="0.2">
      <c r="A178" s="416" t="s">
        <v>70</v>
      </c>
      <c r="B178" s="421">
        <v>1594.2</v>
      </c>
      <c r="C178" s="421">
        <v>1707</v>
      </c>
      <c r="D178" s="421">
        <v>1778</v>
      </c>
      <c r="E178" s="421">
        <v>1878</v>
      </c>
      <c r="F178" s="421">
        <v>1944</v>
      </c>
      <c r="G178" s="421">
        <v>2006</v>
      </c>
      <c r="H178" s="421">
        <v>2067</v>
      </c>
      <c r="I178" s="421"/>
      <c r="J178" s="423"/>
      <c r="K178" s="423"/>
      <c r="L178" s="423"/>
      <c r="M178" s="423"/>
      <c r="N178" s="423"/>
      <c r="O178" s="423"/>
      <c r="P178" s="423"/>
      <c r="Q178" s="423"/>
      <c r="R178" s="423"/>
      <c r="S178" s="423"/>
      <c r="T178" s="423"/>
      <c r="U178" s="421"/>
      <c r="V178" s="420">
        <f t="shared" si="4"/>
        <v>7</v>
      </c>
    </row>
    <row r="179" spans="1:38" x14ac:dyDescent="0.2">
      <c r="A179" s="418" t="s">
        <v>314</v>
      </c>
      <c r="B179" s="419">
        <v>2563</v>
      </c>
      <c r="C179" s="419">
        <v>2640</v>
      </c>
      <c r="D179" s="419">
        <v>2719</v>
      </c>
      <c r="E179" s="419">
        <v>2802</v>
      </c>
      <c r="F179" s="419">
        <v>2886</v>
      </c>
      <c r="G179" s="419">
        <v>2974</v>
      </c>
      <c r="H179" s="419">
        <v>3064</v>
      </c>
      <c r="I179" s="419">
        <v>3156</v>
      </c>
      <c r="J179" s="419">
        <v>3251</v>
      </c>
      <c r="K179" s="419">
        <v>3350</v>
      </c>
      <c r="L179" s="419">
        <v>3451</v>
      </c>
      <c r="M179" s="419">
        <v>3555</v>
      </c>
      <c r="N179" s="419">
        <v>3662</v>
      </c>
      <c r="O179" s="419">
        <v>3773</v>
      </c>
      <c r="P179" s="419">
        <v>3910</v>
      </c>
      <c r="Q179" s="423"/>
      <c r="R179" s="423"/>
      <c r="S179" s="423"/>
      <c r="T179" s="423"/>
      <c r="U179" s="421"/>
      <c r="V179" s="420">
        <f t="shared" si="4"/>
        <v>15</v>
      </c>
      <c r="X179" s="435">
        <f t="shared" ref="X179:AL182" si="5">B179-B134</f>
        <v>0</v>
      </c>
      <c r="Y179" s="435">
        <f t="shared" si="5"/>
        <v>2</v>
      </c>
      <c r="Z179" s="435">
        <f t="shared" si="5"/>
        <v>4</v>
      </c>
      <c r="AA179" s="435">
        <f t="shared" si="5"/>
        <v>7</v>
      </c>
      <c r="AB179" s="435">
        <f t="shared" si="5"/>
        <v>9</v>
      </c>
      <c r="AC179" s="435">
        <f t="shared" si="5"/>
        <v>12</v>
      </c>
      <c r="AD179" s="435">
        <f t="shared" si="5"/>
        <v>15</v>
      </c>
      <c r="AE179" s="435">
        <f t="shared" si="5"/>
        <v>17</v>
      </c>
      <c r="AF179" s="435">
        <f t="shared" si="5"/>
        <v>20</v>
      </c>
      <c r="AG179" s="435">
        <f t="shared" si="5"/>
        <v>24</v>
      </c>
      <c r="AH179" s="435">
        <f t="shared" si="5"/>
        <v>27</v>
      </c>
      <c r="AI179" s="435">
        <f t="shared" si="5"/>
        <v>31</v>
      </c>
      <c r="AJ179" s="435">
        <f t="shared" si="5"/>
        <v>33</v>
      </c>
      <c r="AK179" s="435">
        <f t="shared" si="5"/>
        <v>38</v>
      </c>
      <c r="AL179" s="435">
        <f t="shared" si="5"/>
        <v>35</v>
      </c>
    </row>
    <row r="180" spans="1:38" x14ac:dyDescent="0.2">
      <c r="A180" s="418" t="s">
        <v>315</v>
      </c>
      <c r="B180" s="419">
        <v>2639</v>
      </c>
      <c r="C180" s="419">
        <v>2729</v>
      </c>
      <c r="D180" s="419">
        <v>2821</v>
      </c>
      <c r="E180" s="419">
        <v>2916</v>
      </c>
      <c r="F180" s="419">
        <v>3015</v>
      </c>
      <c r="G180" s="419">
        <v>3117</v>
      </c>
      <c r="H180" s="419">
        <v>3222</v>
      </c>
      <c r="I180" s="419">
        <v>3331</v>
      </c>
      <c r="J180" s="419">
        <v>3443</v>
      </c>
      <c r="K180" s="419">
        <v>3560</v>
      </c>
      <c r="L180" s="419">
        <v>3680</v>
      </c>
      <c r="M180" s="419">
        <v>3805</v>
      </c>
      <c r="N180" s="419">
        <v>3933</v>
      </c>
      <c r="O180" s="419">
        <v>4066</v>
      </c>
      <c r="P180" s="419">
        <v>4228</v>
      </c>
      <c r="Q180" s="423"/>
      <c r="R180" s="423"/>
      <c r="S180" s="423"/>
      <c r="T180" s="423"/>
      <c r="U180" s="421"/>
      <c r="V180" s="420">
        <f t="shared" si="4"/>
        <v>15</v>
      </c>
      <c r="X180" s="435">
        <f t="shared" si="5"/>
        <v>0</v>
      </c>
      <c r="Y180" s="435">
        <f t="shared" si="5"/>
        <v>0</v>
      </c>
      <c r="Z180" s="435">
        <f t="shared" si="5"/>
        <v>0</v>
      </c>
      <c r="AA180" s="435">
        <f t="shared" si="5"/>
        <v>0</v>
      </c>
      <c r="AB180" s="435">
        <f t="shared" si="5"/>
        <v>0</v>
      </c>
      <c r="AC180" s="435">
        <f t="shared" si="5"/>
        <v>0</v>
      </c>
      <c r="AD180" s="435">
        <f t="shared" si="5"/>
        <v>0</v>
      </c>
      <c r="AE180" s="435">
        <f t="shared" si="5"/>
        <v>0</v>
      </c>
      <c r="AF180" s="435">
        <f t="shared" si="5"/>
        <v>0</v>
      </c>
      <c r="AG180" s="435">
        <f t="shared" si="5"/>
        <v>0</v>
      </c>
      <c r="AH180" s="435">
        <f t="shared" si="5"/>
        <v>0</v>
      </c>
      <c r="AI180" s="435">
        <f t="shared" si="5"/>
        <v>0</v>
      </c>
      <c r="AJ180" s="435">
        <f t="shared" si="5"/>
        <v>0</v>
      </c>
      <c r="AK180" s="435">
        <f t="shared" si="5"/>
        <v>0</v>
      </c>
      <c r="AL180" s="435">
        <f t="shared" si="5"/>
        <v>0</v>
      </c>
    </row>
    <row r="181" spans="1:38" x14ac:dyDescent="0.2">
      <c r="A181" s="418" t="s">
        <v>316</v>
      </c>
      <c r="B181" s="419">
        <v>2691</v>
      </c>
      <c r="C181" s="419">
        <v>2806</v>
      </c>
      <c r="D181" s="419">
        <v>2927</v>
      </c>
      <c r="E181" s="419">
        <v>3052</v>
      </c>
      <c r="F181" s="419">
        <v>3184</v>
      </c>
      <c r="G181" s="419">
        <v>3321</v>
      </c>
      <c r="H181" s="419">
        <v>3463</v>
      </c>
      <c r="I181" s="419">
        <v>3613</v>
      </c>
      <c r="J181" s="419">
        <v>3768</v>
      </c>
      <c r="K181" s="419">
        <v>3930</v>
      </c>
      <c r="L181" s="419">
        <v>4099</v>
      </c>
      <c r="M181" s="419">
        <v>4275</v>
      </c>
      <c r="N181" s="419">
        <v>4460</v>
      </c>
      <c r="O181" s="419">
        <v>4651</v>
      </c>
      <c r="P181" s="419">
        <v>4851</v>
      </c>
      <c r="Q181" s="423"/>
      <c r="R181" s="423"/>
      <c r="S181" s="423"/>
      <c r="T181" s="423"/>
      <c r="U181" s="421"/>
      <c r="V181" s="420">
        <f t="shared" si="4"/>
        <v>15</v>
      </c>
      <c r="X181" s="435">
        <f t="shared" si="5"/>
        <v>0</v>
      </c>
      <c r="Y181" s="435">
        <f t="shared" si="5"/>
        <v>0</v>
      </c>
      <c r="Z181" s="435">
        <f t="shared" si="5"/>
        <v>0</v>
      </c>
      <c r="AA181" s="435">
        <f t="shared" si="5"/>
        <v>0</v>
      </c>
      <c r="AB181" s="435">
        <f t="shared" si="5"/>
        <v>0</v>
      </c>
      <c r="AC181" s="435">
        <f t="shared" si="5"/>
        <v>0</v>
      </c>
      <c r="AD181" s="435">
        <f t="shared" si="5"/>
        <v>0</v>
      </c>
      <c r="AE181" s="435">
        <f t="shared" si="5"/>
        <v>0</v>
      </c>
      <c r="AF181" s="435">
        <f t="shared" si="5"/>
        <v>0</v>
      </c>
      <c r="AG181" s="435">
        <f t="shared" si="5"/>
        <v>0</v>
      </c>
      <c r="AH181" s="435">
        <f t="shared" si="5"/>
        <v>0</v>
      </c>
      <c r="AI181" s="435">
        <f t="shared" si="5"/>
        <v>0</v>
      </c>
      <c r="AJ181" s="435">
        <f t="shared" si="5"/>
        <v>0</v>
      </c>
      <c r="AK181" s="435">
        <f t="shared" si="5"/>
        <v>0</v>
      </c>
      <c r="AL181" s="435">
        <f t="shared" si="5"/>
        <v>0</v>
      </c>
    </row>
    <row r="182" spans="1:38" x14ac:dyDescent="0.2">
      <c r="A182" s="418" t="s">
        <v>317</v>
      </c>
      <c r="B182" s="419">
        <v>2691</v>
      </c>
      <c r="C182" s="419">
        <v>2806</v>
      </c>
      <c r="D182" s="419">
        <v>2961</v>
      </c>
      <c r="E182" s="419">
        <v>3124</v>
      </c>
      <c r="F182" s="419">
        <v>3288</v>
      </c>
      <c r="G182" s="419">
        <v>3459</v>
      </c>
      <c r="H182" s="419">
        <v>3637</v>
      </c>
      <c r="I182" s="419">
        <v>3817</v>
      </c>
      <c r="J182" s="419">
        <v>4007</v>
      </c>
      <c r="K182" s="419">
        <v>4204</v>
      </c>
      <c r="L182" s="419">
        <v>4406</v>
      </c>
      <c r="M182" s="419">
        <v>4616</v>
      </c>
      <c r="N182" s="419">
        <v>4833</v>
      </c>
      <c r="O182" s="419">
        <v>5055</v>
      </c>
      <c r="P182" s="419">
        <v>5294</v>
      </c>
      <c r="Q182" s="423"/>
      <c r="R182" s="423"/>
      <c r="S182" s="423"/>
      <c r="T182" s="423"/>
      <c r="U182" s="421"/>
      <c r="V182" s="420">
        <f t="shared" si="4"/>
        <v>15</v>
      </c>
      <c r="X182" s="435">
        <f t="shared" si="5"/>
        <v>0</v>
      </c>
      <c r="Y182" s="435">
        <f t="shared" si="5"/>
        <v>0</v>
      </c>
      <c r="Z182" s="435">
        <f t="shared" si="5"/>
        <v>0</v>
      </c>
      <c r="AA182" s="435">
        <f t="shared" si="5"/>
        <v>0</v>
      </c>
      <c r="AB182" s="435">
        <f t="shared" si="5"/>
        <v>0</v>
      </c>
      <c r="AC182" s="435">
        <f t="shared" si="5"/>
        <v>0</v>
      </c>
      <c r="AD182" s="435">
        <f t="shared" si="5"/>
        <v>0</v>
      </c>
      <c r="AE182" s="435">
        <f t="shared" si="5"/>
        <v>0</v>
      </c>
      <c r="AF182" s="435">
        <f t="shared" si="5"/>
        <v>0</v>
      </c>
      <c r="AG182" s="435">
        <f t="shared" si="5"/>
        <v>0</v>
      </c>
      <c r="AH182" s="435">
        <f t="shared" si="5"/>
        <v>0</v>
      </c>
      <c r="AI182" s="435">
        <f t="shared" si="5"/>
        <v>0</v>
      </c>
      <c r="AJ182" s="435">
        <f t="shared" si="5"/>
        <v>0</v>
      </c>
      <c r="AK182" s="435">
        <f t="shared" si="5"/>
        <v>0</v>
      </c>
      <c r="AL182" s="435">
        <f t="shared" si="5"/>
        <v>0</v>
      </c>
    </row>
    <row r="183" spans="1:38" x14ac:dyDescent="0.2">
      <c r="A183" s="418" t="s">
        <v>318</v>
      </c>
      <c r="B183" s="419">
        <v>3392</v>
      </c>
      <c r="C183" s="419">
        <v>3519</v>
      </c>
      <c r="D183" s="419">
        <v>3633</v>
      </c>
      <c r="E183" s="419">
        <v>3861</v>
      </c>
      <c r="F183" s="419">
        <v>4114</v>
      </c>
      <c r="G183" s="419">
        <v>4273</v>
      </c>
      <c r="H183" s="419">
        <v>4435</v>
      </c>
      <c r="I183" s="419">
        <v>4596</v>
      </c>
      <c r="J183" s="419">
        <v>4758</v>
      </c>
      <c r="K183" s="419">
        <v>4918</v>
      </c>
      <c r="L183" s="419">
        <v>5081</v>
      </c>
      <c r="M183" s="419">
        <v>5243</v>
      </c>
      <c r="N183" s="419">
        <v>5405</v>
      </c>
      <c r="O183" s="419">
        <v>5566</v>
      </c>
      <c r="P183" s="419">
        <v>5732</v>
      </c>
      <c r="Q183" s="423"/>
      <c r="R183" s="423"/>
      <c r="S183" s="423"/>
      <c r="T183" s="423"/>
      <c r="U183" s="421"/>
      <c r="V183" s="420">
        <f t="shared" si="4"/>
        <v>15</v>
      </c>
    </row>
    <row r="184" spans="1:38" x14ac:dyDescent="0.2">
      <c r="A184" s="416" t="s">
        <v>19</v>
      </c>
      <c r="B184" s="421">
        <v>1218</v>
      </c>
      <c r="C184" s="424"/>
      <c r="D184" s="424"/>
      <c r="E184" s="424"/>
      <c r="F184" s="424"/>
      <c r="G184" s="424"/>
      <c r="H184" s="424"/>
      <c r="I184" s="424"/>
      <c r="J184" s="424"/>
      <c r="K184" s="424"/>
      <c r="L184" s="424"/>
      <c r="M184" s="424"/>
      <c r="N184" s="424"/>
      <c r="O184" s="424"/>
      <c r="P184" s="424"/>
      <c r="Q184" s="423"/>
      <c r="R184" s="425"/>
      <c r="S184" s="425"/>
      <c r="T184" s="425"/>
      <c r="U184" s="424"/>
      <c r="V184" s="420">
        <f t="shared" si="4"/>
        <v>1</v>
      </c>
    </row>
    <row r="185" spans="1:38" x14ac:dyDescent="0.2">
      <c r="A185" s="416" t="s">
        <v>20</v>
      </c>
      <c r="B185" s="421">
        <v>1262.5</v>
      </c>
      <c r="C185" s="424"/>
      <c r="D185" s="424"/>
      <c r="E185" s="424"/>
      <c r="F185" s="424"/>
      <c r="G185" s="424"/>
      <c r="H185" s="424"/>
      <c r="I185" s="424"/>
      <c r="J185" s="424"/>
      <c r="K185" s="424"/>
      <c r="L185" s="424"/>
      <c r="M185" s="424"/>
      <c r="N185" s="424"/>
      <c r="O185" s="424"/>
      <c r="P185" s="424"/>
      <c r="Q185" s="423"/>
      <c r="R185" s="425"/>
      <c r="S185" s="425"/>
      <c r="T185" s="425"/>
      <c r="U185" s="424"/>
      <c r="V185" s="420">
        <f t="shared" si="4"/>
        <v>1</v>
      </c>
    </row>
    <row r="186" spans="1:38" x14ac:dyDescent="0.2">
      <c r="A186" s="426" t="s">
        <v>67</v>
      </c>
      <c r="B186" s="419">
        <v>2888</v>
      </c>
      <c r="C186" s="419">
        <v>2999</v>
      </c>
      <c r="D186" s="419">
        <v>3113</v>
      </c>
      <c r="E186" s="419">
        <v>3223</v>
      </c>
      <c r="F186" s="419">
        <v>3334</v>
      </c>
      <c r="G186" s="419">
        <v>3447</v>
      </c>
      <c r="H186" s="419">
        <v>3559</v>
      </c>
      <c r="I186" s="419">
        <v>3671</v>
      </c>
      <c r="J186" s="419">
        <v>3781</v>
      </c>
      <c r="K186" s="419">
        <v>3893</v>
      </c>
      <c r="L186" s="419">
        <v>4007</v>
      </c>
      <c r="M186" s="419"/>
      <c r="N186" s="419"/>
      <c r="O186" s="419"/>
      <c r="P186" s="419"/>
      <c r="Q186" s="423"/>
      <c r="R186" s="423"/>
      <c r="S186" s="423"/>
      <c r="T186" s="423"/>
      <c r="U186" s="421"/>
      <c r="V186" s="420">
        <f t="shared" si="4"/>
        <v>11</v>
      </c>
    </row>
    <row r="187" spans="1:38" x14ac:dyDescent="0.2">
      <c r="A187" s="426" t="s">
        <v>63</v>
      </c>
      <c r="B187" s="419">
        <v>2999</v>
      </c>
      <c r="C187" s="419">
        <v>3223</v>
      </c>
      <c r="D187" s="419">
        <v>3447</v>
      </c>
      <c r="E187" s="419">
        <v>3559</v>
      </c>
      <c r="F187" s="419">
        <v>3671</v>
      </c>
      <c r="G187" s="419">
        <v>3781</v>
      </c>
      <c r="H187" s="419">
        <v>3893</v>
      </c>
      <c r="I187" s="419">
        <v>4007</v>
      </c>
      <c r="J187" s="419">
        <v>4118</v>
      </c>
      <c r="K187" s="419">
        <v>4231</v>
      </c>
      <c r="L187" s="419"/>
      <c r="M187" s="419"/>
      <c r="N187" s="419"/>
      <c r="O187" s="419"/>
      <c r="P187" s="419"/>
      <c r="Q187" s="423"/>
      <c r="R187" s="423"/>
      <c r="S187" s="423"/>
      <c r="T187" s="423"/>
      <c r="U187" s="421"/>
      <c r="V187" s="420">
        <f t="shared" si="4"/>
        <v>10</v>
      </c>
    </row>
    <row r="188" spans="1:38" x14ac:dyDescent="0.2">
      <c r="A188" s="426" t="s">
        <v>64</v>
      </c>
      <c r="B188" s="419">
        <v>2999</v>
      </c>
      <c r="C188" s="419">
        <v>3223</v>
      </c>
      <c r="D188" s="419">
        <v>3447</v>
      </c>
      <c r="E188" s="419">
        <v>3559</v>
      </c>
      <c r="F188" s="419">
        <v>3671</v>
      </c>
      <c r="G188" s="419">
        <v>3781</v>
      </c>
      <c r="H188" s="419">
        <v>3893</v>
      </c>
      <c r="I188" s="419">
        <v>4007</v>
      </c>
      <c r="J188" s="419">
        <v>4118</v>
      </c>
      <c r="K188" s="419">
        <v>4231</v>
      </c>
      <c r="L188" s="419">
        <v>4344</v>
      </c>
      <c r="M188" s="419"/>
      <c r="N188" s="419"/>
      <c r="O188" s="419"/>
      <c r="P188" s="419"/>
      <c r="Q188" s="423"/>
      <c r="R188" s="423"/>
      <c r="S188" s="423"/>
      <c r="T188" s="423"/>
      <c r="U188" s="421"/>
      <c r="V188" s="420">
        <f t="shared" si="4"/>
        <v>11</v>
      </c>
    </row>
    <row r="189" spans="1:38" x14ac:dyDescent="0.2">
      <c r="A189" s="426" t="s">
        <v>65</v>
      </c>
      <c r="B189" s="419">
        <v>3113</v>
      </c>
      <c r="C189" s="419">
        <v>3447</v>
      </c>
      <c r="D189" s="419">
        <v>3671</v>
      </c>
      <c r="E189" s="419">
        <v>3893</v>
      </c>
      <c r="F189" s="419">
        <v>4118</v>
      </c>
      <c r="G189" s="419">
        <v>4231</v>
      </c>
      <c r="H189" s="419">
        <v>4344</v>
      </c>
      <c r="I189" s="419">
        <v>4454</v>
      </c>
      <c r="J189" s="419">
        <v>4566</v>
      </c>
      <c r="K189" s="419">
        <v>4676</v>
      </c>
      <c r="L189" s="419">
        <v>4791</v>
      </c>
      <c r="M189" s="419">
        <v>4902</v>
      </c>
      <c r="N189" s="419">
        <v>5014</v>
      </c>
      <c r="O189" s="419"/>
      <c r="P189" s="419"/>
      <c r="Q189" s="423"/>
      <c r="R189" s="423"/>
      <c r="S189" s="423"/>
      <c r="T189" s="423"/>
      <c r="U189" s="421"/>
      <c r="V189" s="420">
        <f t="shared" si="4"/>
        <v>13</v>
      </c>
    </row>
    <row r="190" spans="1:38" x14ac:dyDescent="0.2">
      <c r="A190" s="426" t="s">
        <v>66</v>
      </c>
      <c r="B190" s="419">
        <v>3113</v>
      </c>
      <c r="C190" s="419">
        <v>3447</v>
      </c>
      <c r="D190" s="419">
        <v>3671</v>
      </c>
      <c r="E190" s="419">
        <v>3893</v>
      </c>
      <c r="F190" s="419">
        <v>4118</v>
      </c>
      <c r="G190" s="419">
        <v>4231</v>
      </c>
      <c r="H190" s="419">
        <v>4344</v>
      </c>
      <c r="I190" s="419">
        <v>4454</v>
      </c>
      <c r="J190" s="419">
        <v>4566</v>
      </c>
      <c r="K190" s="419">
        <v>4676</v>
      </c>
      <c r="L190" s="419">
        <v>4791</v>
      </c>
      <c r="M190" s="419">
        <v>4902</v>
      </c>
      <c r="N190" s="419">
        <v>5014</v>
      </c>
      <c r="O190" s="419">
        <v>5124</v>
      </c>
      <c r="P190" s="419">
        <v>5236</v>
      </c>
      <c r="Q190" s="423"/>
      <c r="R190" s="423"/>
      <c r="S190" s="423"/>
      <c r="T190" s="423"/>
      <c r="U190" s="421"/>
      <c r="V190" s="420">
        <f t="shared" si="4"/>
        <v>15</v>
      </c>
    </row>
    <row r="191" spans="1:38" x14ac:dyDescent="0.2">
      <c r="A191" s="416">
        <v>1</v>
      </c>
      <c r="B191" s="421">
        <v>1594.2</v>
      </c>
      <c r="C191" s="421">
        <v>1610</v>
      </c>
      <c r="D191" s="419">
        <v>1677</v>
      </c>
      <c r="E191" s="419">
        <v>1707</v>
      </c>
      <c r="F191" s="419">
        <v>1742</v>
      </c>
      <c r="G191" s="419">
        <v>1778</v>
      </c>
      <c r="H191" s="419">
        <v>1825</v>
      </c>
      <c r="I191" s="419"/>
      <c r="J191" s="419"/>
      <c r="K191" s="419"/>
      <c r="L191" s="419"/>
      <c r="M191" s="419"/>
      <c r="N191" s="419"/>
      <c r="O191" s="419"/>
      <c r="P191" s="419"/>
      <c r="Q191" s="419"/>
      <c r="R191" s="419"/>
      <c r="S191" s="419"/>
      <c r="T191" s="423"/>
      <c r="U191" s="421"/>
      <c r="V191" s="420">
        <f t="shared" si="4"/>
        <v>7</v>
      </c>
    </row>
    <row r="192" spans="1:38" x14ac:dyDescent="0.2">
      <c r="A192" s="416">
        <v>2</v>
      </c>
      <c r="B192" s="421">
        <v>1594.2</v>
      </c>
      <c r="C192" s="419">
        <v>1644</v>
      </c>
      <c r="D192" s="419">
        <v>1707</v>
      </c>
      <c r="E192" s="419">
        <v>1778</v>
      </c>
      <c r="F192" s="419">
        <v>1825</v>
      </c>
      <c r="G192" s="419">
        <v>1878</v>
      </c>
      <c r="H192" s="419">
        <v>1944</v>
      </c>
      <c r="I192" s="419">
        <v>2006</v>
      </c>
      <c r="J192" s="419"/>
      <c r="K192" s="419"/>
      <c r="L192" s="419"/>
      <c r="M192" s="419"/>
      <c r="N192" s="419"/>
      <c r="O192" s="419"/>
      <c r="P192" s="419"/>
      <c r="Q192" s="419"/>
      <c r="R192" s="419"/>
      <c r="S192" s="419"/>
      <c r="T192" s="423"/>
      <c r="U192" s="421"/>
      <c r="V192" s="420">
        <f t="shared" si="4"/>
        <v>8</v>
      </c>
    </row>
    <row r="193" spans="1:22" x14ac:dyDescent="0.2">
      <c r="A193" s="416">
        <v>3</v>
      </c>
      <c r="B193" s="421">
        <v>1594.2</v>
      </c>
      <c r="C193" s="419">
        <v>1707</v>
      </c>
      <c r="D193" s="419">
        <v>1778</v>
      </c>
      <c r="E193" s="419">
        <v>1878</v>
      </c>
      <c r="F193" s="419">
        <v>1944</v>
      </c>
      <c r="G193" s="419">
        <v>2006</v>
      </c>
      <c r="H193" s="419">
        <v>2067</v>
      </c>
      <c r="I193" s="419">
        <v>2126</v>
      </c>
      <c r="J193" s="419">
        <v>2185</v>
      </c>
      <c r="K193" s="419"/>
      <c r="L193" s="419"/>
      <c r="M193" s="419"/>
      <c r="N193" s="419"/>
      <c r="O193" s="419"/>
      <c r="P193" s="419"/>
      <c r="Q193" s="419"/>
      <c r="R193" s="419"/>
      <c r="S193" s="419"/>
      <c r="T193" s="423"/>
      <c r="U193" s="421"/>
      <c r="V193" s="420">
        <f t="shared" si="4"/>
        <v>9</v>
      </c>
    </row>
    <row r="194" spans="1:22" x14ac:dyDescent="0.2">
      <c r="A194" s="416">
        <v>4</v>
      </c>
      <c r="B194" s="421">
        <v>1610</v>
      </c>
      <c r="C194" s="419">
        <v>1677</v>
      </c>
      <c r="D194" s="419">
        <v>1742</v>
      </c>
      <c r="E194" s="419">
        <v>1825</v>
      </c>
      <c r="F194" s="419">
        <v>1944</v>
      </c>
      <c r="G194" s="419">
        <v>2006</v>
      </c>
      <c r="H194" s="419">
        <v>2067</v>
      </c>
      <c r="I194" s="419">
        <v>2126</v>
      </c>
      <c r="J194" s="419">
        <v>2185</v>
      </c>
      <c r="K194" s="419">
        <v>2241</v>
      </c>
      <c r="L194" s="419">
        <v>2298</v>
      </c>
      <c r="M194" s="419"/>
      <c r="N194" s="419"/>
      <c r="O194" s="419"/>
      <c r="P194" s="419"/>
      <c r="Q194" s="419"/>
      <c r="R194" s="419"/>
      <c r="S194" s="419"/>
      <c r="T194" s="423"/>
      <c r="U194" s="421"/>
      <c r="V194" s="420">
        <f t="shared" si="4"/>
        <v>11</v>
      </c>
    </row>
    <row r="195" spans="1:22" x14ac:dyDescent="0.2">
      <c r="A195" s="416">
        <v>5</v>
      </c>
      <c r="B195" s="419">
        <v>1644</v>
      </c>
      <c r="C195" s="419">
        <v>1677</v>
      </c>
      <c r="D195" s="419">
        <v>1778</v>
      </c>
      <c r="E195" s="419">
        <v>1878</v>
      </c>
      <c r="F195" s="419">
        <v>2006</v>
      </c>
      <c r="G195" s="419">
        <v>2067</v>
      </c>
      <c r="H195" s="419">
        <v>2126</v>
      </c>
      <c r="I195" s="419">
        <v>2185</v>
      </c>
      <c r="J195" s="419">
        <v>2241</v>
      </c>
      <c r="K195" s="419">
        <v>2298</v>
      </c>
      <c r="L195" s="419">
        <v>2353</v>
      </c>
      <c r="M195" s="419">
        <v>2416</v>
      </c>
      <c r="N195" s="419"/>
      <c r="O195" s="419"/>
      <c r="P195" s="419"/>
      <c r="Q195" s="419"/>
      <c r="R195" s="419"/>
      <c r="S195" s="419"/>
      <c r="T195" s="423"/>
      <c r="U195" s="421"/>
      <c r="V195" s="420">
        <f t="shared" si="4"/>
        <v>12</v>
      </c>
    </row>
    <row r="196" spans="1:22" x14ac:dyDescent="0.2">
      <c r="A196" s="416">
        <v>6</v>
      </c>
      <c r="B196" s="419">
        <v>1707</v>
      </c>
      <c r="C196" s="419">
        <v>1778</v>
      </c>
      <c r="D196" s="419">
        <v>2006</v>
      </c>
      <c r="E196" s="419">
        <v>2126</v>
      </c>
      <c r="F196" s="419">
        <v>2185</v>
      </c>
      <c r="G196" s="419">
        <v>2241</v>
      </c>
      <c r="H196" s="419">
        <v>2298</v>
      </c>
      <c r="I196" s="419">
        <v>2353</v>
      </c>
      <c r="J196" s="419">
        <v>2416</v>
      </c>
      <c r="K196" s="419">
        <v>2475</v>
      </c>
      <c r="L196" s="419">
        <v>2531</v>
      </c>
      <c r="M196" s="419"/>
      <c r="N196" s="419"/>
      <c r="O196" s="419"/>
      <c r="P196" s="419"/>
      <c r="Q196" s="419"/>
      <c r="R196" s="419"/>
      <c r="S196" s="419"/>
      <c r="T196" s="423"/>
      <c r="U196" s="421"/>
      <c r="V196" s="420">
        <f t="shared" si="4"/>
        <v>11</v>
      </c>
    </row>
    <row r="197" spans="1:22" x14ac:dyDescent="0.2">
      <c r="A197" s="416">
        <v>7</v>
      </c>
      <c r="B197" s="419">
        <v>1825</v>
      </c>
      <c r="C197" s="419">
        <v>1878</v>
      </c>
      <c r="D197" s="419">
        <v>2006</v>
      </c>
      <c r="E197" s="419">
        <v>2241</v>
      </c>
      <c r="F197" s="419">
        <v>2353</v>
      </c>
      <c r="G197" s="419">
        <v>2416</v>
      </c>
      <c r="H197" s="419">
        <v>2475</v>
      </c>
      <c r="I197" s="419">
        <v>2531</v>
      </c>
      <c r="J197" s="419">
        <v>2590</v>
      </c>
      <c r="K197" s="419">
        <v>2653</v>
      </c>
      <c r="L197" s="419">
        <v>2719</v>
      </c>
      <c r="M197" s="419">
        <v>2791</v>
      </c>
      <c r="N197" s="419"/>
      <c r="O197" s="419"/>
      <c r="P197" s="419"/>
      <c r="Q197" s="419"/>
      <c r="R197" s="419"/>
      <c r="S197" s="419"/>
      <c r="T197" s="423"/>
      <c r="U197" s="421"/>
      <c r="V197" s="420">
        <f t="shared" si="4"/>
        <v>12</v>
      </c>
    </row>
    <row r="198" spans="1:22" x14ac:dyDescent="0.2">
      <c r="A198" s="416">
        <v>8</v>
      </c>
      <c r="B198" s="419">
        <v>2067</v>
      </c>
      <c r="C198" s="419">
        <v>2126</v>
      </c>
      <c r="D198" s="419">
        <v>2241</v>
      </c>
      <c r="E198" s="419">
        <v>2475</v>
      </c>
      <c r="F198" s="419">
        <v>2590</v>
      </c>
      <c r="G198" s="419">
        <v>2719</v>
      </c>
      <c r="H198" s="419">
        <v>2791</v>
      </c>
      <c r="I198" s="419">
        <v>2857</v>
      </c>
      <c r="J198" s="419">
        <v>2916</v>
      </c>
      <c r="K198" s="419">
        <v>2979</v>
      </c>
      <c r="L198" s="419">
        <v>3043</v>
      </c>
      <c r="M198" s="419">
        <v>3102</v>
      </c>
      <c r="N198" s="419">
        <v>3157</v>
      </c>
      <c r="O198" s="419"/>
      <c r="P198" s="419"/>
      <c r="Q198" s="419"/>
      <c r="R198" s="419"/>
      <c r="S198" s="419"/>
      <c r="T198" s="423"/>
      <c r="U198" s="421"/>
      <c r="V198" s="420">
        <f t="shared" si="4"/>
        <v>13</v>
      </c>
    </row>
    <row r="199" spans="1:22" x14ac:dyDescent="0.2">
      <c r="A199" s="416">
        <v>9</v>
      </c>
      <c r="B199" s="419">
        <v>2394</v>
      </c>
      <c r="C199" s="419">
        <v>2516</v>
      </c>
      <c r="D199" s="419">
        <v>2762</v>
      </c>
      <c r="E199" s="419">
        <v>2903</v>
      </c>
      <c r="F199" s="419">
        <v>3025</v>
      </c>
      <c r="G199" s="419">
        <v>3149</v>
      </c>
      <c r="H199" s="419">
        <v>3266</v>
      </c>
      <c r="I199" s="419">
        <v>3383</v>
      </c>
      <c r="J199" s="419">
        <v>3510</v>
      </c>
      <c r="K199" s="419">
        <v>3622</v>
      </c>
      <c r="L199" s="419"/>
      <c r="M199" s="419"/>
      <c r="N199" s="419"/>
      <c r="O199" s="419"/>
      <c r="P199" s="419"/>
      <c r="Q199" s="419"/>
      <c r="R199" s="419"/>
      <c r="S199" s="419"/>
      <c r="T199" s="423"/>
      <c r="U199" s="421"/>
      <c r="V199" s="420">
        <f t="shared" si="4"/>
        <v>10</v>
      </c>
    </row>
    <row r="200" spans="1:22" x14ac:dyDescent="0.2">
      <c r="A200" s="416">
        <v>10</v>
      </c>
      <c r="B200" s="419">
        <v>2377</v>
      </c>
      <c r="C200" s="419">
        <v>2616</v>
      </c>
      <c r="D200" s="419">
        <v>2745</v>
      </c>
      <c r="E200" s="419">
        <v>2886</v>
      </c>
      <c r="F200" s="419">
        <v>3008</v>
      </c>
      <c r="G200" s="419">
        <v>3232</v>
      </c>
      <c r="H200" s="419">
        <v>3249</v>
      </c>
      <c r="I200" s="419">
        <v>3365</v>
      </c>
      <c r="J200" s="419">
        <v>3493</v>
      </c>
      <c r="K200" s="419">
        <v>3604</v>
      </c>
      <c r="L200" s="419">
        <v>3721</v>
      </c>
      <c r="M200" s="419">
        <v>3833</v>
      </c>
      <c r="N200" s="419">
        <v>3961</v>
      </c>
      <c r="O200" s="419"/>
      <c r="P200" s="419"/>
      <c r="Q200" s="419"/>
      <c r="R200" s="419"/>
      <c r="S200" s="419"/>
      <c r="T200" s="423"/>
      <c r="U200" s="421"/>
      <c r="V200" s="420">
        <f t="shared" si="4"/>
        <v>13</v>
      </c>
    </row>
    <row r="201" spans="1:22" x14ac:dyDescent="0.2">
      <c r="A201" s="416">
        <v>11</v>
      </c>
      <c r="B201" s="419">
        <v>2499</v>
      </c>
      <c r="C201" s="419">
        <v>2616</v>
      </c>
      <c r="D201" s="419">
        <v>2745</v>
      </c>
      <c r="E201" s="419">
        <v>2886</v>
      </c>
      <c r="F201" s="419">
        <v>3008</v>
      </c>
      <c r="G201" s="419">
        <v>3132</v>
      </c>
      <c r="H201" s="419">
        <v>3249</v>
      </c>
      <c r="I201" s="419">
        <v>3493</v>
      </c>
      <c r="J201" s="419">
        <v>3604</v>
      </c>
      <c r="K201" s="419">
        <v>3721</v>
      </c>
      <c r="L201" s="419">
        <v>3833</v>
      </c>
      <c r="M201" s="419">
        <v>3961</v>
      </c>
      <c r="N201" s="419">
        <v>4086</v>
      </c>
      <c r="O201" s="419">
        <v>4209</v>
      </c>
      <c r="P201" s="419">
        <v>4326</v>
      </c>
      <c r="Q201" s="419">
        <v>4446</v>
      </c>
      <c r="R201" s="419">
        <v>4559</v>
      </c>
      <c r="S201" s="419">
        <v>4621</v>
      </c>
      <c r="T201" s="423"/>
      <c r="U201" s="421"/>
      <c r="V201" s="420">
        <f t="shared" si="4"/>
        <v>18</v>
      </c>
    </row>
    <row r="202" spans="1:22" x14ac:dyDescent="0.2">
      <c r="A202" s="416">
        <v>12</v>
      </c>
      <c r="B202" s="419">
        <v>3365</v>
      </c>
      <c r="C202" s="419">
        <v>3493</v>
      </c>
      <c r="D202" s="419">
        <v>3604</v>
      </c>
      <c r="E202" s="419">
        <v>3721</v>
      </c>
      <c r="F202" s="419">
        <v>3833</v>
      </c>
      <c r="G202" s="419">
        <v>3961</v>
      </c>
      <c r="H202" s="419">
        <v>4209</v>
      </c>
      <c r="I202" s="419">
        <v>4326</v>
      </c>
      <c r="J202" s="419">
        <v>4446</v>
      </c>
      <c r="K202" s="419">
        <v>4559</v>
      </c>
      <c r="L202" s="419">
        <v>4682</v>
      </c>
      <c r="M202" s="419">
        <v>4802</v>
      </c>
      <c r="N202" s="419">
        <v>4916</v>
      </c>
      <c r="O202" s="419">
        <v>5036</v>
      </c>
      <c r="P202" s="419">
        <v>5183</v>
      </c>
      <c r="Q202" s="419">
        <v>5258</v>
      </c>
      <c r="R202" s="419"/>
      <c r="S202" s="419"/>
      <c r="T202" s="423"/>
      <c r="U202" s="421"/>
      <c r="V202" s="420">
        <f t="shared" si="4"/>
        <v>16</v>
      </c>
    </row>
    <row r="203" spans="1:22" x14ac:dyDescent="0.2">
      <c r="A203" s="416">
        <v>13</v>
      </c>
      <c r="B203" s="419">
        <v>4086</v>
      </c>
      <c r="C203" s="419">
        <v>4209</v>
      </c>
      <c r="D203" s="419">
        <v>4326</v>
      </c>
      <c r="E203" s="419">
        <v>4446</v>
      </c>
      <c r="F203" s="419">
        <v>4559</v>
      </c>
      <c r="G203" s="419">
        <v>4802</v>
      </c>
      <c r="H203" s="419">
        <v>4916</v>
      </c>
      <c r="I203" s="419">
        <v>5036</v>
      </c>
      <c r="J203" s="419">
        <v>5183</v>
      </c>
      <c r="K203" s="419">
        <v>5332</v>
      </c>
      <c r="L203" s="419">
        <v>5481</v>
      </c>
      <c r="M203" s="419">
        <v>5629</v>
      </c>
      <c r="N203" s="419">
        <v>5702</v>
      </c>
      <c r="O203" s="419"/>
      <c r="P203" s="419"/>
      <c r="Q203" s="419"/>
      <c r="R203" s="419"/>
      <c r="S203" s="419"/>
      <c r="T203" s="423"/>
      <c r="U203" s="421"/>
      <c r="V203" s="420">
        <f t="shared" si="4"/>
        <v>13</v>
      </c>
    </row>
    <row r="204" spans="1:22" x14ac:dyDescent="0.2">
      <c r="A204" s="416">
        <v>14</v>
      </c>
      <c r="B204" s="419">
        <v>4682</v>
      </c>
      <c r="C204" s="419">
        <v>4802</v>
      </c>
      <c r="D204" s="419">
        <v>5036</v>
      </c>
      <c r="E204" s="419">
        <v>5183</v>
      </c>
      <c r="F204" s="419">
        <v>5332</v>
      </c>
      <c r="G204" s="419">
        <v>5481</v>
      </c>
      <c r="H204" s="419">
        <v>5629</v>
      </c>
      <c r="I204" s="419">
        <v>5779</v>
      </c>
      <c r="J204" s="419">
        <v>5938</v>
      </c>
      <c r="K204" s="419">
        <v>6097</v>
      </c>
      <c r="L204" s="419">
        <v>6264</v>
      </c>
      <c r="M204" s="419"/>
      <c r="N204" s="419"/>
      <c r="O204" s="419"/>
      <c r="P204" s="419"/>
      <c r="Q204" s="419"/>
      <c r="R204" s="419"/>
      <c r="S204" s="419"/>
      <c r="T204" s="423"/>
      <c r="U204" s="421"/>
      <c r="V204" s="420">
        <f t="shared" si="4"/>
        <v>11</v>
      </c>
    </row>
    <row r="205" spans="1:22" x14ac:dyDescent="0.2">
      <c r="A205" s="416">
        <v>15</v>
      </c>
      <c r="B205" s="419">
        <v>4916</v>
      </c>
      <c r="C205" s="419">
        <v>5036</v>
      </c>
      <c r="D205" s="419">
        <v>5183</v>
      </c>
      <c r="E205" s="419">
        <v>5481</v>
      </c>
      <c r="F205" s="419">
        <v>5629</v>
      </c>
      <c r="G205" s="419">
        <v>5779</v>
      </c>
      <c r="H205" s="419">
        <v>5938</v>
      </c>
      <c r="I205" s="419">
        <v>6097</v>
      </c>
      <c r="J205" s="419">
        <v>6264</v>
      </c>
      <c r="K205" s="419">
        <v>6463</v>
      </c>
      <c r="L205" s="419">
        <v>6671</v>
      </c>
      <c r="M205" s="419">
        <v>6883</v>
      </c>
      <c r="N205" s="419"/>
      <c r="O205" s="419"/>
      <c r="P205" s="419"/>
      <c r="Q205" s="419"/>
      <c r="R205" s="419"/>
      <c r="S205" s="419"/>
      <c r="T205" s="427"/>
      <c r="U205" s="428"/>
      <c r="V205" s="420">
        <f t="shared" si="4"/>
        <v>12</v>
      </c>
    </row>
    <row r="206" spans="1:22" x14ac:dyDescent="0.2">
      <c r="A206" s="416">
        <v>16</v>
      </c>
      <c r="B206" s="419">
        <v>5332</v>
      </c>
      <c r="C206" s="419">
        <v>5481</v>
      </c>
      <c r="D206" s="419">
        <v>5629</v>
      </c>
      <c r="E206" s="419">
        <v>5938</v>
      </c>
      <c r="F206" s="419">
        <v>6097</v>
      </c>
      <c r="G206" s="419">
        <v>6264</v>
      </c>
      <c r="H206" s="419">
        <v>6463</v>
      </c>
      <c r="I206" s="419">
        <v>6671</v>
      </c>
      <c r="J206" s="419">
        <v>6883</v>
      </c>
      <c r="K206" s="419">
        <v>7104</v>
      </c>
      <c r="L206" s="419">
        <v>7327</v>
      </c>
      <c r="M206" s="419">
        <v>7561</v>
      </c>
      <c r="N206" s="419"/>
      <c r="O206" s="419"/>
      <c r="P206" s="419"/>
      <c r="Q206" s="419"/>
      <c r="R206" s="419"/>
      <c r="S206" s="419"/>
      <c r="T206" s="427"/>
      <c r="U206" s="428"/>
      <c r="V206" s="420">
        <f t="shared" si="4"/>
        <v>12</v>
      </c>
    </row>
    <row r="207" spans="1:22" x14ac:dyDescent="0.2">
      <c r="A207" s="369"/>
      <c r="B207" s="369"/>
      <c r="C207" s="369"/>
      <c r="D207" s="369"/>
      <c r="E207" s="369"/>
      <c r="F207" s="369"/>
      <c r="G207" s="369"/>
      <c r="H207" s="369"/>
      <c r="I207" s="369"/>
      <c r="J207" s="369"/>
      <c r="K207" s="369"/>
      <c r="L207" s="369"/>
      <c r="M207" s="369"/>
      <c r="N207" s="369"/>
      <c r="O207" s="369"/>
      <c r="P207" s="369"/>
      <c r="Q207" s="369"/>
      <c r="R207" s="369"/>
      <c r="S207" s="369"/>
      <c r="T207" s="369"/>
      <c r="U207" s="369"/>
      <c r="V207" s="369"/>
    </row>
    <row r="208" spans="1:22" x14ac:dyDescent="0.2">
      <c r="A208" s="414" t="s">
        <v>1</v>
      </c>
      <c r="B208" s="698">
        <v>43831</v>
      </c>
      <c r="C208" s="698"/>
      <c r="D208" s="415"/>
      <c r="E208" s="416"/>
      <c r="F208" s="416"/>
      <c r="G208" s="416"/>
      <c r="H208" s="416"/>
      <c r="I208" s="416"/>
      <c r="J208" s="416"/>
      <c r="K208" s="416"/>
      <c r="L208" s="416"/>
      <c r="M208" s="416"/>
      <c r="N208" s="416"/>
      <c r="O208" s="416"/>
      <c r="P208" s="416"/>
      <c r="Q208" s="416"/>
      <c r="R208" s="416"/>
      <c r="S208" s="416"/>
      <c r="T208" s="416"/>
      <c r="U208" s="416"/>
      <c r="V208" s="416"/>
    </row>
    <row r="209" spans="1:39" x14ac:dyDescent="0.2">
      <c r="A209" s="415" t="s">
        <v>2</v>
      </c>
      <c r="B209" s="417">
        <v>1</v>
      </c>
      <c r="C209" s="417">
        <v>2</v>
      </c>
      <c r="D209" s="417">
        <v>3</v>
      </c>
      <c r="E209" s="417">
        <v>4</v>
      </c>
      <c r="F209" s="417">
        <v>5</v>
      </c>
      <c r="G209" s="417">
        <v>6</v>
      </c>
      <c r="H209" s="417">
        <v>7</v>
      </c>
      <c r="I209" s="417">
        <v>8</v>
      </c>
      <c r="J209" s="417">
        <v>9</v>
      </c>
      <c r="K209" s="417">
        <v>10</v>
      </c>
      <c r="L209" s="417">
        <v>11</v>
      </c>
      <c r="M209" s="417">
        <v>12</v>
      </c>
      <c r="N209" s="417">
        <v>13</v>
      </c>
      <c r="O209" s="417">
        <v>14</v>
      </c>
      <c r="P209" s="417">
        <v>15</v>
      </c>
      <c r="Q209" s="417">
        <v>16</v>
      </c>
      <c r="R209" s="417">
        <v>17</v>
      </c>
      <c r="S209" s="417">
        <v>18</v>
      </c>
      <c r="T209" s="417">
        <v>19</v>
      </c>
      <c r="U209" s="417">
        <v>20</v>
      </c>
      <c r="V209" s="417" t="s">
        <v>27</v>
      </c>
    </row>
    <row r="210" spans="1:39" x14ac:dyDescent="0.2">
      <c r="A210" s="418" t="s">
        <v>11</v>
      </c>
      <c r="B210" s="419">
        <v>2648</v>
      </c>
      <c r="C210" s="419">
        <v>2766</v>
      </c>
      <c r="D210" s="419">
        <v>2895</v>
      </c>
      <c r="E210" s="419">
        <v>3036</v>
      </c>
      <c r="F210" s="419">
        <v>3157</v>
      </c>
      <c r="G210" s="419">
        <v>3282</v>
      </c>
      <c r="H210" s="419">
        <v>3397</v>
      </c>
      <c r="I210" s="419">
        <v>3514</v>
      </c>
      <c r="J210" s="419">
        <v>3639</v>
      </c>
      <c r="K210" s="419">
        <v>3755</v>
      </c>
      <c r="L210" s="419">
        <v>3867</v>
      </c>
      <c r="M210" s="419">
        <v>3982</v>
      </c>
      <c r="N210" s="419">
        <v>4176</v>
      </c>
      <c r="O210" s="419"/>
      <c r="P210" s="419"/>
      <c r="Q210" s="419"/>
      <c r="R210" s="419"/>
      <c r="S210" s="419"/>
      <c r="T210" s="419"/>
      <c r="U210" s="419"/>
      <c r="V210" s="420">
        <f t="shared" ref="V210:V219" si="6">COUNTA(B210:U210)</f>
        <v>13</v>
      </c>
    </row>
    <row r="211" spans="1:39" x14ac:dyDescent="0.2">
      <c r="A211" s="418" t="s">
        <v>12</v>
      </c>
      <c r="B211" s="419">
        <v>2704</v>
      </c>
      <c r="C211" s="419">
        <v>2835</v>
      </c>
      <c r="D211" s="419">
        <v>2973</v>
      </c>
      <c r="E211" s="419">
        <v>3098</v>
      </c>
      <c r="F211" s="419">
        <v>3220</v>
      </c>
      <c r="G211" s="419">
        <v>3338</v>
      </c>
      <c r="H211" s="419">
        <v>3453</v>
      </c>
      <c r="I211" s="419">
        <v>3580</v>
      </c>
      <c r="J211" s="419">
        <v>3694</v>
      </c>
      <c r="K211" s="419">
        <v>3808</v>
      </c>
      <c r="L211" s="419">
        <v>3923</v>
      </c>
      <c r="M211" s="419">
        <v>4048</v>
      </c>
      <c r="N211" s="419">
        <v>4176</v>
      </c>
      <c r="O211" s="419">
        <v>4297</v>
      </c>
      <c r="P211" s="419">
        <v>4416</v>
      </c>
      <c r="Q211" s="419">
        <v>4533</v>
      </c>
      <c r="R211" s="419">
        <v>4649</v>
      </c>
      <c r="S211" s="419">
        <v>4709</v>
      </c>
      <c r="T211" s="419"/>
      <c r="U211" s="419"/>
      <c r="V211" s="420">
        <f t="shared" si="6"/>
        <v>18</v>
      </c>
    </row>
    <row r="212" spans="1:39" x14ac:dyDescent="0.2">
      <c r="A212" s="418" t="s">
        <v>13</v>
      </c>
      <c r="B212" s="419">
        <v>2835</v>
      </c>
      <c r="C212" s="419">
        <v>2973</v>
      </c>
      <c r="D212" s="419">
        <v>3220</v>
      </c>
      <c r="E212" s="419">
        <v>3453</v>
      </c>
      <c r="F212" s="419">
        <v>3580</v>
      </c>
      <c r="G212" s="419">
        <v>3694</v>
      </c>
      <c r="H212" s="419">
        <v>3808</v>
      </c>
      <c r="I212" s="419">
        <v>3923</v>
      </c>
      <c r="J212" s="419">
        <v>4048</v>
      </c>
      <c r="K212" s="419">
        <v>4176</v>
      </c>
      <c r="L212" s="419">
        <v>4297</v>
      </c>
      <c r="M212" s="419">
        <v>4416</v>
      </c>
      <c r="N212" s="419">
        <v>4533</v>
      </c>
      <c r="O212" s="419">
        <v>4649</v>
      </c>
      <c r="P212" s="419">
        <v>4770</v>
      </c>
      <c r="Q212" s="419">
        <v>4890</v>
      </c>
      <c r="R212" s="419">
        <v>5003</v>
      </c>
      <c r="S212" s="419">
        <v>5123</v>
      </c>
      <c r="T212" s="419">
        <v>5272</v>
      </c>
      <c r="U212" s="419">
        <v>5345</v>
      </c>
      <c r="V212" s="420">
        <f t="shared" si="6"/>
        <v>20</v>
      </c>
    </row>
    <row r="213" spans="1:39" x14ac:dyDescent="0.2">
      <c r="A213" s="418" t="s">
        <v>14</v>
      </c>
      <c r="B213" s="419">
        <v>2973</v>
      </c>
      <c r="C213" s="419">
        <v>3220</v>
      </c>
      <c r="D213" s="419">
        <v>3453</v>
      </c>
      <c r="E213" s="419">
        <v>3694</v>
      </c>
      <c r="F213" s="419">
        <v>3923</v>
      </c>
      <c r="G213" s="419">
        <v>4176</v>
      </c>
      <c r="H213" s="419">
        <v>4297</v>
      </c>
      <c r="I213" s="419">
        <v>4416</v>
      </c>
      <c r="J213" s="419">
        <v>4533</v>
      </c>
      <c r="K213" s="419">
        <v>4649</v>
      </c>
      <c r="L213" s="419">
        <v>4770</v>
      </c>
      <c r="M213" s="419">
        <v>4890</v>
      </c>
      <c r="N213" s="419">
        <v>5003</v>
      </c>
      <c r="O213" s="419">
        <v>5123</v>
      </c>
      <c r="P213" s="419">
        <v>5272</v>
      </c>
      <c r="Q213" s="419">
        <v>5420</v>
      </c>
      <c r="R213" s="419">
        <v>5569</v>
      </c>
      <c r="S213" s="419">
        <v>5718</v>
      </c>
      <c r="T213" s="419">
        <v>5789</v>
      </c>
      <c r="U213" s="419"/>
      <c r="V213" s="420">
        <f t="shared" si="6"/>
        <v>19</v>
      </c>
    </row>
    <row r="214" spans="1:39" x14ac:dyDescent="0.2">
      <c r="A214" s="418" t="s">
        <v>3</v>
      </c>
      <c r="B214" s="419">
        <v>2888</v>
      </c>
      <c r="C214" s="419">
        <v>2999</v>
      </c>
      <c r="D214" s="419">
        <v>3113</v>
      </c>
      <c r="E214" s="419">
        <v>3223</v>
      </c>
      <c r="F214" s="419">
        <v>3334</v>
      </c>
      <c r="G214" s="419">
        <v>3447</v>
      </c>
      <c r="H214" s="419">
        <v>3559</v>
      </c>
      <c r="I214" s="419">
        <v>3671</v>
      </c>
      <c r="J214" s="419">
        <v>3781</v>
      </c>
      <c r="K214" s="419">
        <v>3893</v>
      </c>
      <c r="L214" s="419">
        <v>4007</v>
      </c>
      <c r="M214" s="419">
        <v>4118</v>
      </c>
      <c r="N214" s="419">
        <v>4231</v>
      </c>
      <c r="O214" s="419"/>
      <c r="P214" s="419"/>
      <c r="Q214" s="419"/>
      <c r="R214" s="419"/>
      <c r="S214" s="419"/>
      <c r="T214" s="421"/>
      <c r="U214" s="421"/>
      <c r="V214" s="420">
        <f t="shared" si="6"/>
        <v>13</v>
      </c>
    </row>
    <row r="215" spans="1:39" x14ac:dyDescent="0.2">
      <c r="A215" s="418" t="s">
        <v>4</v>
      </c>
      <c r="B215" s="419">
        <v>2999</v>
      </c>
      <c r="C215" s="419">
        <v>3223</v>
      </c>
      <c r="D215" s="419">
        <v>3447</v>
      </c>
      <c r="E215" s="419">
        <v>3559</v>
      </c>
      <c r="F215" s="419">
        <v>3671</v>
      </c>
      <c r="G215" s="419">
        <v>3781</v>
      </c>
      <c r="H215" s="419">
        <v>3893</v>
      </c>
      <c r="I215" s="419">
        <v>4007</v>
      </c>
      <c r="J215" s="419">
        <v>4118</v>
      </c>
      <c r="K215" s="419">
        <v>4231</v>
      </c>
      <c r="L215" s="419">
        <v>4344</v>
      </c>
      <c r="M215" s="419">
        <v>4454</v>
      </c>
      <c r="N215" s="419">
        <v>4566</v>
      </c>
      <c r="O215" s="419">
        <v>4676</v>
      </c>
      <c r="P215" s="419">
        <v>4791</v>
      </c>
      <c r="Q215" s="419"/>
      <c r="R215" s="419"/>
      <c r="S215" s="419"/>
      <c r="T215" s="421"/>
      <c r="U215" s="421"/>
      <c r="V215" s="420">
        <f t="shared" si="6"/>
        <v>15</v>
      </c>
    </row>
    <row r="216" spans="1:39" x14ac:dyDescent="0.2">
      <c r="A216" s="418" t="s">
        <v>5</v>
      </c>
      <c r="B216" s="419">
        <v>2999</v>
      </c>
      <c r="C216" s="419">
        <v>3223</v>
      </c>
      <c r="D216" s="419">
        <v>3447</v>
      </c>
      <c r="E216" s="419">
        <v>3559</v>
      </c>
      <c r="F216" s="419">
        <v>3671</v>
      </c>
      <c r="G216" s="419">
        <v>3781</v>
      </c>
      <c r="H216" s="419">
        <v>3893</v>
      </c>
      <c r="I216" s="419">
        <v>4007</v>
      </c>
      <c r="J216" s="419">
        <v>4118</v>
      </c>
      <c r="K216" s="419">
        <v>4231</v>
      </c>
      <c r="L216" s="419">
        <v>4344</v>
      </c>
      <c r="M216" s="419">
        <v>4454</v>
      </c>
      <c r="N216" s="419">
        <v>4566</v>
      </c>
      <c r="O216" s="419">
        <v>4676</v>
      </c>
      <c r="P216" s="419">
        <v>4791</v>
      </c>
      <c r="Q216" s="419">
        <v>4902</v>
      </c>
      <c r="R216" s="419">
        <v>5014</v>
      </c>
      <c r="S216" s="419"/>
      <c r="T216" s="421"/>
      <c r="U216" s="421"/>
      <c r="V216" s="420">
        <f t="shared" si="6"/>
        <v>17</v>
      </c>
    </row>
    <row r="217" spans="1:39" x14ac:dyDescent="0.2">
      <c r="A217" s="418" t="s">
        <v>6</v>
      </c>
      <c r="B217" s="419">
        <v>3113</v>
      </c>
      <c r="C217" s="419">
        <v>3447</v>
      </c>
      <c r="D217" s="419">
        <v>3671</v>
      </c>
      <c r="E217" s="419">
        <v>3893</v>
      </c>
      <c r="F217" s="419">
        <v>4118</v>
      </c>
      <c r="G217" s="419">
        <v>4231</v>
      </c>
      <c r="H217" s="419">
        <v>4344</v>
      </c>
      <c r="I217" s="419">
        <v>4454</v>
      </c>
      <c r="J217" s="419">
        <v>4566</v>
      </c>
      <c r="K217" s="419">
        <v>4676</v>
      </c>
      <c r="L217" s="419">
        <v>4791</v>
      </c>
      <c r="M217" s="419">
        <v>4902</v>
      </c>
      <c r="N217" s="419">
        <v>5014</v>
      </c>
      <c r="O217" s="419">
        <v>5124</v>
      </c>
      <c r="P217" s="419">
        <v>5236</v>
      </c>
      <c r="Q217" s="419">
        <v>5350</v>
      </c>
      <c r="R217" s="419"/>
      <c r="S217" s="419"/>
      <c r="T217" s="421"/>
      <c r="U217" s="421"/>
      <c r="V217" s="420">
        <f t="shared" si="6"/>
        <v>16</v>
      </c>
    </row>
    <row r="218" spans="1:39" x14ac:dyDescent="0.2">
      <c r="A218" s="418" t="s">
        <v>7</v>
      </c>
      <c r="B218" s="419">
        <v>3113</v>
      </c>
      <c r="C218" s="419">
        <v>3447</v>
      </c>
      <c r="D218" s="419">
        <v>3671</v>
      </c>
      <c r="E218" s="419">
        <v>3893</v>
      </c>
      <c r="F218" s="419">
        <v>4118</v>
      </c>
      <c r="G218" s="419">
        <v>4231</v>
      </c>
      <c r="H218" s="419">
        <v>4344</v>
      </c>
      <c r="I218" s="419">
        <v>4454</v>
      </c>
      <c r="J218" s="419">
        <v>4566</v>
      </c>
      <c r="K218" s="419">
        <v>4676</v>
      </c>
      <c r="L218" s="419">
        <v>4791</v>
      </c>
      <c r="M218" s="419">
        <v>4902</v>
      </c>
      <c r="N218" s="419">
        <v>5014</v>
      </c>
      <c r="O218" s="419">
        <v>5124</v>
      </c>
      <c r="P218" s="419">
        <v>5236</v>
      </c>
      <c r="Q218" s="419">
        <v>5350</v>
      </c>
      <c r="R218" s="419">
        <v>5461</v>
      </c>
      <c r="S218" s="419">
        <v>5572</v>
      </c>
      <c r="T218" s="421"/>
      <c r="U218" s="421"/>
      <c r="V218" s="420">
        <f t="shared" si="6"/>
        <v>18</v>
      </c>
    </row>
    <row r="219" spans="1:39" x14ac:dyDescent="0.2">
      <c r="A219" s="418" t="s">
        <v>8</v>
      </c>
      <c r="B219" s="419">
        <v>3160</v>
      </c>
      <c r="C219" s="419">
        <v>3392</v>
      </c>
      <c r="D219" s="419">
        <v>3630</v>
      </c>
      <c r="E219" s="419">
        <v>3857</v>
      </c>
      <c r="F219" s="419">
        <v>4109</v>
      </c>
      <c r="G219" s="419">
        <v>4231</v>
      </c>
      <c r="H219" s="419">
        <v>4348</v>
      </c>
      <c r="I219" s="419">
        <v>4467</v>
      </c>
      <c r="J219" s="419">
        <v>4580</v>
      </c>
      <c r="K219" s="419">
        <v>4702</v>
      </c>
      <c r="L219" s="419">
        <v>4820</v>
      </c>
      <c r="M219" s="419">
        <v>4934</v>
      </c>
      <c r="N219" s="419">
        <v>5052</v>
      </c>
      <c r="O219" s="419">
        <v>5200</v>
      </c>
      <c r="P219" s="419">
        <v>5349</v>
      </c>
      <c r="Q219" s="419">
        <v>5496</v>
      </c>
      <c r="R219" s="419">
        <v>5644</v>
      </c>
      <c r="S219" s="419">
        <v>5715</v>
      </c>
      <c r="T219" s="421"/>
      <c r="U219" s="421"/>
      <c r="V219" s="420">
        <f t="shared" si="6"/>
        <v>18</v>
      </c>
    </row>
    <row r="220" spans="1:39" x14ac:dyDescent="0.2">
      <c r="A220" s="418" t="s">
        <v>9</v>
      </c>
      <c r="B220" s="419">
        <v>3276</v>
      </c>
      <c r="C220" s="419">
        <v>3517</v>
      </c>
      <c r="D220" s="419">
        <v>3744</v>
      </c>
      <c r="E220" s="419">
        <v>3983</v>
      </c>
      <c r="F220" s="419">
        <v>4231</v>
      </c>
      <c r="G220" s="419">
        <v>4467</v>
      </c>
      <c r="H220" s="419">
        <v>4702</v>
      </c>
      <c r="I220" s="419">
        <v>4820</v>
      </c>
      <c r="J220" s="419">
        <v>4934</v>
      </c>
      <c r="K220" s="419">
        <v>5052</v>
      </c>
      <c r="L220" s="419">
        <v>5200</v>
      </c>
      <c r="M220" s="419">
        <v>5349</v>
      </c>
      <c r="N220" s="419">
        <v>5496</v>
      </c>
      <c r="O220" s="419">
        <v>5644</v>
      </c>
      <c r="P220" s="419">
        <v>5794</v>
      </c>
      <c r="Q220" s="419">
        <v>5951</v>
      </c>
      <c r="R220" s="419">
        <v>6111</v>
      </c>
      <c r="S220" s="419">
        <v>6276</v>
      </c>
      <c r="T220" s="421"/>
      <c r="U220" s="421"/>
      <c r="V220" s="420">
        <f>COUNTA(B220:U220)</f>
        <v>18</v>
      </c>
    </row>
    <row r="221" spans="1:39" x14ac:dyDescent="0.2">
      <c r="A221" s="422" t="s">
        <v>68</v>
      </c>
      <c r="B221" s="421">
        <v>1594.2</v>
      </c>
      <c r="C221" s="421">
        <v>1610</v>
      </c>
      <c r="D221" s="421">
        <v>1677</v>
      </c>
      <c r="E221" s="421">
        <v>1707</v>
      </c>
      <c r="F221" s="421">
        <v>1742</v>
      </c>
      <c r="G221" s="421">
        <v>1778</v>
      </c>
      <c r="H221" s="421">
        <v>1825</v>
      </c>
      <c r="I221" s="421"/>
      <c r="J221" s="423"/>
      <c r="K221" s="423"/>
      <c r="L221" s="423"/>
      <c r="M221" s="423"/>
      <c r="N221" s="423"/>
      <c r="O221" s="423"/>
      <c r="P221" s="423"/>
      <c r="Q221" s="423"/>
      <c r="R221" s="423"/>
      <c r="S221" s="423"/>
      <c r="T221" s="423"/>
      <c r="U221" s="421"/>
      <c r="V221" s="420">
        <f t="shared" ref="V221:V251" si="7">COUNTA(B221:U221)</f>
        <v>7</v>
      </c>
    </row>
    <row r="222" spans="1:39" x14ac:dyDescent="0.2">
      <c r="A222" s="416" t="s">
        <v>69</v>
      </c>
      <c r="B222" s="421">
        <v>1594.2</v>
      </c>
      <c r="C222" s="421">
        <v>1644</v>
      </c>
      <c r="D222" s="421">
        <v>1707</v>
      </c>
      <c r="E222" s="421">
        <v>1778</v>
      </c>
      <c r="F222" s="421">
        <v>1825</v>
      </c>
      <c r="G222" s="421">
        <v>1878</v>
      </c>
      <c r="H222" s="421">
        <v>1944</v>
      </c>
      <c r="I222" s="421">
        <v>2006</v>
      </c>
      <c r="J222" s="423"/>
      <c r="K222" s="423"/>
      <c r="L222" s="423"/>
      <c r="M222" s="423"/>
      <c r="N222" s="423"/>
      <c r="O222" s="423"/>
      <c r="P222" s="423"/>
      <c r="Q222" s="423"/>
      <c r="R222" s="423"/>
      <c r="S222" s="423"/>
      <c r="T222" s="423"/>
      <c r="U222" s="421"/>
      <c r="V222" s="420">
        <f t="shared" si="7"/>
        <v>8</v>
      </c>
    </row>
    <row r="223" spans="1:39" x14ac:dyDescent="0.2">
      <c r="A223" s="416" t="s">
        <v>70</v>
      </c>
      <c r="B223" s="421">
        <v>1594.2</v>
      </c>
      <c r="C223" s="421">
        <v>1707</v>
      </c>
      <c r="D223" s="421">
        <v>1778</v>
      </c>
      <c r="E223" s="421">
        <v>1878</v>
      </c>
      <c r="F223" s="421">
        <v>1944</v>
      </c>
      <c r="G223" s="421">
        <v>2006</v>
      </c>
      <c r="H223" s="421">
        <v>2067</v>
      </c>
      <c r="I223" s="421"/>
      <c r="J223" s="423"/>
      <c r="K223" s="423"/>
      <c r="L223" s="423"/>
      <c r="M223" s="423"/>
      <c r="N223" s="423"/>
      <c r="O223" s="423"/>
      <c r="P223" s="423"/>
      <c r="Q223" s="423"/>
      <c r="R223" s="423"/>
      <c r="S223" s="423"/>
      <c r="T223" s="423"/>
      <c r="U223" s="421"/>
      <c r="V223" s="420">
        <f t="shared" si="7"/>
        <v>7</v>
      </c>
    </row>
    <row r="224" spans="1:39" x14ac:dyDescent="0.2">
      <c r="A224" s="418" t="s">
        <v>314</v>
      </c>
      <c r="B224" s="419">
        <v>2563</v>
      </c>
      <c r="C224" s="419">
        <v>2642</v>
      </c>
      <c r="D224" s="419">
        <v>2723</v>
      </c>
      <c r="E224" s="419">
        <v>2809</v>
      </c>
      <c r="F224" s="419">
        <v>2896</v>
      </c>
      <c r="G224" s="419">
        <v>2985</v>
      </c>
      <c r="H224" s="419">
        <v>3078</v>
      </c>
      <c r="I224" s="419">
        <v>3173</v>
      </c>
      <c r="J224" s="419">
        <v>3272</v>
      </c>
      <c r="K224" s="419">
        <v>3373</v>
      </c>
      <c r="L224" s="419">
        <v>3478</v>
      </c>
      <c r="M224" s="419">
        <v>3585</v>
      </c>
      <c r="N224" s="419">
        <v>3696</v>
      </c>
      <c r="O224" s="419">
        <v>3811</v>
      </c>
      <c r="P224" s="419">
        <v>3936</v>
      </c>
      <c r="Q224" s="423"/>
      <c r="R224" s="423"/>
      <c r="S224" s="423"/>
      <c r="T224" s="423"/>
      <c r="U224" s="421"/>
      <c r="V224" s="420">
        <f t="shared" si="7"/>
        <v>15</v>
      </c>
      <c r="X224" s="435">
        <f t="shared" ref="X224:AL227" si="8">B224-B179</f>
        <v>0</v>
      </c>
      <c r="Y224" s="435">
        <f t="shared" si="8"/>
        <v>2</v>
      </c>
      <c r="Z224" s="435">
        <f t="shared" si="8"/>
        <v>4</v>
      </c>
      <c r="AA224" s="435">
        <f t="shared" si="8"/>
        <v>7</v>
      </c>
      <c r="AB224" s="435">
        <f t="shared" si="8"/>
        <v>10</v>
      </c>
      <c r="AC224" s="435">
        <f t="shared" si="8"/>
        <v>11</v>
      </c>
      <c r="AD224" s="435">
        <f t="shared" si="8"/>
        <v>14</v>
      </c>
      <c r="AE224" s="435">
        <f t="shared" si="8"/>
        <v>17</v>
      </c>
      <c r="AF224" s="435">
        <f t="shared" si="8"/>
        <v>21</v>
      </c>
      <c r="AG224" s="435">
        <f t="shared" si="8"/>
        <v>23</v>
      </c>
      <c r="AH224" s="435">
        <f t="shared" si="8"/>
        <v>27</v>
      </c>
      <c r="AI224" s="435">
        <f t="shared" si="8"/>
        <v>30</v>
      </c>
      <c r="AJ224" s="435">
        <f t="shared" si="8"/>
        <v>34</v>
      </c>
      <c r="AK224" s="435">
        <f t="shared" si="8"/>
        <v>38</v>
      </c>
      <c r="AL224" s="435">
        <f t="shared" si="8"/>
        <v>26</v>
      </c>
      <c r="AM224" s="432"/>
    </row>
    <row r="225" spans="1:39" x14ac:dyDescent="0.2">
      <c r="A225" s="418" t="s">
        <v>315</v>
      </c>
      <c r="B225" s="419">
        <v>2639</v>
      </c>
      <c r="C225" s="419">
        <v>2729</v>
      </c>
      <c r="D225" s="419">
        <v>2821</v>
      </c>
      <c r="E225" s="419">
        <v>2916</v>
      </c>
      <c r="F225" s="419">
        <v>3015</v>
      </c>
      <c r="G225" s="419">
        <v>3117</v>
      </c>
      <c r="H225" s="419">
        <v>3222</v>
      </c>
      <c r="I225" s="419">
        <v>3331</v>
      </c>
      <c r="J225" s="419">
        <v>3443</v>
      </c>
      <c r="K225" s="419">
        <v>3560</v>
      </c>
      <c r="L225" s="419">
        <v>3680</v>
      </c>
      <c r="M225" s="419">
        <v>3805</v>
      </c>
      <c r="N225" s="419">
        <v>3933</v>
      </c>
      <c r="O225" s="419">
        <v>4066</v>
      </c>
      <c r="P225" s="419">
        <v>4244</v>
      </c>
      <c r="Q225" s="423"/>
      <c r="R225" s="423"/>
      <c r="S225" s="423"/>
      <c r="T225" s="423"/>
      <c r="U225" s="421"/>
      <c r="V225" s="420">
        <f t="shared" si="7"/>
        <v>15</v>
      </c>
      <c r="X225" s="435">
        <f t="shared" si="8"/>
        <v>0</v>
      </c>
      <c r="Y225" s="435">
        <f t="shared" si="8"/>
        <v>0</v>
      </c>
      <c r="Z225" s="435">
        <f t="shared" si="8"/>
        <v>0</v>
      </c>
      <c r="AA225" s="435">
        <f t="shared" si="8"/>
        <v>0</v>
      </c>
      <c r="AB225" s="435">
        <f t="shared" si="8"/>
        <v>0</v>
      </c>
      <c r="AC225" s="435">
        <f t="shared" si="8"/>
        <v>0</v>
      </c>
      <c r="AD225" s="435">
        <f t="shared" si="8"/>
        <v>0</v>
      </c>
      <c r="AE225" s="435">
        <f t="shared" si="8"/>
        <v>0</v>
      </c>
      <c r="AF225" s="435">
        <f t="shared" si="8"/>
        <v>0</v>
      </c>
      <c r="AG225" s="435">
        <f t="shared" si="8"/>
        <v>0</v>
      </c>
      <c r="AH225" s="435">
        <f t="shared" si="8"/>
        <v>0</v>
      </c>
      <c r="AI225" s="435">
        <f t="shared" si="8"/>
        <v>0</v>
      </c>
      <c r="AJ225" s="435">
        <f t="shared" si="8"/>
        <v>0</v>
      </c>
      <c r="AK225" s="435">
        <f t="shared" si="8"/>
        <v>0</v>
      </c>
      <c r="AL225" s="435">
        <f t="shared" si="8"/>
        <v>16</v>
      </c>
      <c r="AM225" s="432"/>
    </row>
    <row r="226" spans="1:39" x14ac:dyDescent="0.2">
      <c r="A226" s="418" t="s">
        <v>316</v>
      </c>
      <c r="B226" s="419">
        <v>2691</v>
      </c>
      <c r="C226" s="419">
        <v>2806</v>
      </c>
      <c r="D226" s="419">
        <v>2927</v>
      </c>
      <c r="E226" s="419">
        <v>3052</v>
      </c>
      <c r="F226" s="419">
        <v>3184</v>
      </c>
      <c r="G226" s="419">
        <v>3321</v>
      </c>
      <c r="H226" s="419">
        <v>3463</v>
      </c>
      <c r="I226" s="419">
        <v>3613</v>
      </c>
      <c r="J226" s="419">
        <v>3768</v>
      </c>
      <c r="K226" s="419">
        <v>3930</v>
      </c>
      <c r="L226" s="419">
        <v>4099</v>
      </c>
      <c r="M226" s="419">
        <v>4275</v>
      </c>
      <c r="N226" s="419">
        <v>4460</v>
      </c>
      <c r="O226" s="419">
        <v>4651</v>
      </c>
      <c r="P226" s="419">
        <v>4851</v>
      </c>
      <c r="Q226" s="423"/>
      <c r="R226" s="423"/>
      <c r="S226" s="423"/>
      <c r="T226" s="423"/>
      <c r="U226" s="421"/>
      <c r="V226" s="420">
        <f t="shared" si="7"/>
        <v>15</v>
      </c>
      <c r="X226" s="435">
        <f t="shared" si="8"/>
        <v>0</v>
      </c>
      <c r="Y226" s="435">
        <f t="shared" si="8"/>
        <v>0</v>
      </c>
      <c r="Z226" s="435">
        <f t="shared" si="8"/>
        <v>0</v>
      </c>
      <c r="AA226" s="435">
        <f t="shared" si="8"/>
        <v>0</v>
      </c>
      <c r="AB226" s="435">
        <f t="shared" si="8"/>
        <v>0</v>
      </c>
      <c r="AC226" s="435">
        <f t="shared" si="8"/>
        <v>0</v>
      </c>
      <c r="AD226" s="435">
        <f t="shared" si="8"/>
        <v>0</v>
      </c>
      <c r="AE226" s="435">
        <f t="shared" si="8"/>
        <v>0</v>
      </c>
      <c r="AF226" s="435">
        <f t="shared" si="8"/>
        <v>0</v>
      </c>
      <c r="AG226" s="435">
        <f t="shared" si="8"/>
        <v>0</v>
      </c>
      <c r="AH226" s="435">
        <f t="shared" si="8"/>
        <v>0</v>
      </c>
      <c r="AI226" s="435">
        <f t="shared" si="8"/>
        <v>0</v>
      </c>
      <c r="AJ226" s="435">
        <f t="shared" si="8"/>
        <v>0</v>
      </c>
      <c r="AK226" s="435">
        <f t="shared" si="8"/>
        <v>0</v>
      </c>
      <c r="AL226" s="435">
        <f t="shared" si="8"/>
        <v>0</v>
      </c>
      <c r="AM226" s="432"/>
    </row>
    <row r="227" spans="1:39" x14ac:dyDescent="0.2">
      <c r="A227" s="418" t="s">
        <v>317</v>
      </c>
      <c r="B227" s="419">
        <v>2691</v>
      </c>
      <c r="C227" s="419">
        <v>2806</v>
      </c>
      <c r="D227" s="419">
        <v>2961</v>
      </c>
      <c r="E227" s="419">
        <v>3124</v>
      </c>
      <c r="F227" s="419">
        <v>3288</v>
      </c>
      <c r="G227" s="419">
        <v>3459</v>
      </c>
      <c r="H227" s="419">
        <v>3637</v>
      </c>
      <c r="I227" s="419">
        <v>3817</v>
      </c>
      <c r="J227" s="419">
        <v>4007</v>
      </c>
      <c r="K227" s="419">
        <v>4204</v>
      </c>
      <c r="L227" s="419">
        <v>4406</v>
      </c>
      <c r="M227" s="419">
        <v>4616</v>
      </c>
      <c r="N227" s="419">
        <v>4833</v>
      </c>
      <c r="O227" s="419">
        <v>5055</v>
      </c>
      <c r="P227" s="419">
        <v>5294</v>
      </c>
      <c r="Q227" s="423"/>
      <c r="R227" s="423"/>
      <c r="S227" s="423"/>
      <c r="T227" s="423"/>
      <c r="U227" s="421"/>
      <c r="V227" s="420">
        <f t="shared" si="7"/>
        <v>15</v>
      </c>
      <c r="X227" s="435">
        <f t="shared" si="8"/>
        <v>0</v>
      </c>
      <c r="Y227" s="435">
        <f t="shared" si="8"/>
        <v>0</v>
      </c>
      <c r="Z227" s="435">
        <f t="shared" si="8"/>
        <v>0</v>
      </c>
      <c r="AA227" s="435">
        <f t="shared" si="8"/>
        <v>0</v>
      </c>
      <c r="AB227" s="435">
        <f t="shared" si="8"/>
        <v>0</v>
      </c>
      <c r="AC227" s="435">
        <f t="shared" si="8"/>
        <v>0</v>
      </c>
      <c r="AD227" s="435">
        <f t="shared" si="8"/>
        <v>0</v>
      </c>
      <c r="AE227" s="435">
        <f t="shared" si="8"/>
        <v>0</v>
      </c>
      <c r="AF227" s="435">
        <f t="shared" si="8"/>
        <v>0</v>
      </c>
      <c r="AG227" s="435">
        <f t="shared" si="8"/>
        <v>0</v>
      </c>
      <c r="AH227" s="435">
        <f t="shared" si="8"/>
        <v>0</v>
      </c>
      <c r="AI227" s="435">
        <f t="shared" si="8"/>
        <v>0</v>
      </c>
      <c r="AJ227" s="435">
        <f t="shared" si="8"/>
        <v>0</v>
      </c>
      <c r="AK227" s="435">
        <f t="shared" si="8"/>
        <v>0</v>
      </c>
      <c r="AL227" s="435">
        <f t="shared" si="8"/>
        <v>0</v>
      </c>
      <c r="AM227" s="432"/>
    </row>
    <row r="228" spans="1:39" x14ac:dyDescent="0.2">
      <c r="A228" s="418" t="s">
        <v>318</v>
      </c>
      <c r="B228" s="419">
        <v>3392</v>
      </c>
      <c r="C228" s="419">
        <v>3519</v>
      </c>
      <c r="D228" s="419">
        <v>3633</v>
      </c>
      <c r="E228" s="419">
        <v>3861</v>
      </c>
      <c r="F228" s="419">
        <v>4114</v>
      </c>
      <c r="G228" s="419">
        <v>4273</v>
      </c>
      <c r="H228" s="419">
        <v>4435</v>
      </c>
      <c r="I228" s="419">
        <v>4596</v>
      </c>
      <c r="J228" s="419">
        <v>4758</v>
      </c>
      <c r="K228" s="419">
        <v>4918</v>
      </c>
      <c r="L228" s="419">
        <v>5081</v>
      </c>
      <c r="M228" s="419">
        <v>5243</v>
      </c>
      <c r="N228" s="419">
        <v>5405</v>
      </c>
      <c r="O228" s="419">
        <v>5566</v>
      </c>
      <c r="P228" s="419">
        <v>5732</v>
      </c>
      <c r="Q228" s="423"/>
      <c r="R228" s="423"/>
      <c r="S228" s="423"/>
      <c r="T228" s="423"/>
      <c r="U228" s="421"/>
      <c r="V228" s="420">
        <f t="shared" si="7"/>
        <v>15</v>
      </c>
    </row>
    <row r="229" spans="1:39" x14ac:dyDescent="0.2">
      <c r="A229" s="416" t="s">
        <v>19</v>
      </c>
      <c r="B229" s="421">
        <v>1218</v>
      </c>
      <c r="C229" s="424"/>
      <c r="D229" s="424"/>
      <c r="E229" s="424"/>
      <c r="F229" s="424"/>
      <c r="G229" s="424"/>
      <c r="H229" s="424"/>
      <c r="I229" s="424"/>
      <c r="J229" s="424"/>
      <c r="K229" s="424"/>
      <c r="L229" s="424"/>
      <c r="M229" s="424"/>
      <c r="N229" s="424"/>
      <c r="O229" s="424"/>
      <c r="P229" s="424"/>
      <c r="Q229" s="423"/>
      <c r="R229" s="425"/>
      <c r="S229" s="425"/>
      <c r="T229" s="425"/>
      <c r="U229" s="424"/>
      <c r="V229" s="420">
        <f t="shared" si="7"/>
        <v>1</v>
      </c>
    </row>
    <row r="230" spans="1:39" x14ac:dyDescent="0.2">
      <c r="A230" s="416" t="s">
        <v>20</v>
      </c>
      <c r="B230" s="421">
        <v>1262.5</v>
      </c>
      <c r="C230" s="424"/>
      <c r="D230" s="424"/>
      <c r="E230" s="424"/>
      <c r="F230" s="424"/>
      <c r="G230" s="424"/>
      <c r="H230" s="424"/>
      <c r="I230" s="424"/>
      <c r="J230" s="424"/>
      <c r="K230" s="424"/>
      <c r="L230" s="424"/>
      <c r="M230" s="424"/>
      <c r="N230" s="424"/>
      <c r="O230" s="424"/>
      <c r="P230" s="424"/>
      <c r="Q230" s="423"/>
      <c r="R230" s="425"/>
      <c r="S230" s="425"/>
      <c r="T230" s="425"/>
      <c r="U230" s="424"/>
      <c r="V230" s="420">
        <f t="shared" si="7"/>
        <v>1</v>
      </c>
    </row>
    <row r="231" spans="1:39" x14ac:dyDescent="0.2">
      <c r="A231" s="426" t="s">
        <v>67</v>
      </c>
      <c r="B231" s="419">
        <v>2888</v>
      </c>
      <c r="C231" s="419">
        <v>2999</v>
      </c>
      <c r="D231" s="419">
        <v>3113</v>
      </c>
      <c r="E231" s="419">
        <v>3223</v>
      </c>
      <c r="F231" s="419">
        <v>3334</v>
      </c>
      <c r="G231" s="419">
        <v>3447</v>
      </c>
      <c r="H231" s="419">
        <v>3559</v>
      </c>
      <c r="I231" s="419">
        <v>3671</v>
      </c>
      <c r="J231" s="419">
        <v>3781</v>
      </c>
      <c r="K231" s="419">
        <v>3893</v>
      </c>
      <c r="L231" s="419">
        <v>4007</v>
      </c>
      <c r="M231" s="419"/>
      <c r="N231" s="419"/>
      <c r="O231" s="419"/>
      <c r="P231" s="419"/>
      <c r="Q231" s="423"/>
      <c r="R231" s="423"/>
      <c r="S231" s="423"/>
      <c r="T231" s="423"/>
      <c r="U231" s="421"/>
      <c r="V231" s="420">
        <f t="shared" si="7"/>
        <v>11</v>
      </c>
    </row>
    <row r="232" spans="1:39" x14ac:dyDescent="0.2">
      <c r="A232" s="426" t="s">
        <v>63</v>
      </c>
      <c r="B232" s="419">
        <v>2999</v>
      </c>
      <c r="C232" s="419">
        <v>3223</v>
      </c>
      <c r="D232" s="419">
        <v>3447</v>
      </c>
      <c r="E232" s="419">
        <v>3559</v>
      </c>
      <c r="F232" s="419">
        <v>3671</v>
      </c>
      <c r="G232" s="419">
        <v>3781</v>
      </c>
      <c r="H232" s="419">
        <v>3893</v>
      </c>
      <c r="I232" s="419">
        <v>4007</v>
      </c>
      <c r="J232" s="419">
        <v>4118</v>
      </c>
      <c r="K232" s="419">
        <v>4231</v>
      </c>
      <c r="L232" s="419"/>
      <c r="M232" s="419"/>
      <c r="N232" s="419"/>
      <c r="O232" s="419"/>
      <c r="P232" s="419"/>
      <c r="Q232" s="423"/>
      <c r="R232" s="423"/>
      <c r="S232" s="423"/>
      <c r="T232" s="423"/>
      <c r="U232" s="421"/>
      <c r="V232" s="420">
        <f t="shared" si="7"/>
        <v>10</v>
      </c>
    </row>
    <row r="233" spans="1:39" x14ac:dyDescent="0.2">
      <c r="A233" s="426" t="s">
        <v>64</v>
      </c>
      <c r="B233" s="419">
        <v>2999</v>
      </c>
      <c r="C233" s="419">
        <v>3223</v>
      </c>
      <c r="D233" s="419">
        <v>3447</v>
      </c>
      <c r="E233" s="419">
        <v>3559</v>
      </c>
      <c r="F233" s="419">
        <v>3671</v>
      </c>
      <c r="G233" s="419">
        <v>3781</v>
      </c>
      <c r="H233" s="419">
        <v>3893</v>
      </c>
      <c r="I233" s="419">
        <v>4007</v>
      </c>
      <c r="J233" s="419">
        <v>4118</v>
      </c>
      <c r="K233" s="419">
        <v>4231</v>
      </c>
      <c r="L233" s="419">
        <v>4344</v>
      </c>
      <c r="M233" s="419"/>
      <c r="N233" s="419"/>
      <c r="O233" s="419"/>
      <c r="P233" s="419"/>
      <c r="Q233" s="423"/>
      <c r="R233" s="423"/>
      <c r="S233" s="423"/>
      <c r="T233" s="423"/>
      <c r="U233" s="421"/>
      <c r="V233" s="420">
        <f t="shared" si="7"/>
        <v>11</v>
      </c>
    </row>
    <row r="234" spans="1:39" x14ac:dyDescent="0.2">
      <c r="A234" s="426" t="s">
        <v>65</v>
      </c>
      <c r="B234" s="419">
        <v>3113</v>
      </c>
      <c r="C234" s="419">
        <v>3447</v>
      </c>
      <c r="D234" s="419">
        <v>3671</v>
      </c>
      <c r="E234" s="419">
        <v>3893</v>
      </c>
      <c r="F234" s="419">
        <v>4118</v>
      </c>
      <c r="G234" s="419">
        <v>4231</v>
      </c>
      <c r="H234" s="419">
        <v>4344</v>
      </c>
      <c r="I234" s="419">
        <v>4454</v>
      </c>
      <c r="J234" s="419">
        <v>4566</v>
      </c>
      <c r="K234" s="419">
        <v>4676</v>
      </c>
      <c r="L234" s="419">
        <v>4791</v>
      </c>
      <c r="M234" s="419">
        <v>4902</v>
      </c>
      <c r="N234" s="419">
        <v>5014</v>
      </c>
      <c r="O234" s="419"/>
      <c r="P234" s="419"/>
      <c r="Q234" s="423"/>
      <c r="R234" s="423"/>
      <c r="S234" s="423"/>
      <c r="T234" s="423"/>
      <c r="U234" s="421"/>
      <c r="V234" s="420">
        <f t="shared" si="7"/>
        <v>13</v>
      </c>
    </row>
    <row r="235" spans="1:39" x14ac:dyDescent="0.2">
      <c r="A235" s="426" t="s">
        <v>66</v>
      </c>
      <c r="B235" s="419">
        <v>3113</v>
      </c>
      <c r="C235" s="419">
        <v>3447</v>
      </c>
      <c r="D235" s="419">
        <v>3671</v>
      </c>
      <c r="E235" s="419">
        <v>3893</v>
      </c>
      <c r="F235" s="419">
        <v>4118</v>
      </c>
      <c r="G235" s="419">
        <v>4231</v>
      </c>
      <c r="H235" s="419">
        <v>4344</v>
      </c>
      <c r="I235" s="419">
        <v>4454</v>
      </c>
      <c r="J235" s="419">
        <v>4566</v>
      </c>
      <c r="K235" s="419">
        <v>4676</v>
      </c>
      <c r="L235" s="419">
        <v>4791</v>
      </c>
      <c r="M235" s="419">
        <v>4902</v>
      </c>
      <c r="N235" s="419">
        <v>5014</v>
      </c>
      <c r="O235" s="419">
        <v>5124</v>
      </c>
      <c r="P235" s="419">
        <v>5236</v>
      </c>
      <c r="Q235" s="423"/>
      <c r="R235" s="423"/>
      <c r="S235" s="423"/>
      <c r="T235" s="423"/>
      <c r="U235" s="421"/>
      <c r="V235" s="420">
        <f t="shared" si="7"/>
        <v>15</v>
      </c>
    </row>
    <row r="236" spans="1:39" x14ac:dyDescent="0.2">
      <c r="A236" s="416">
        <v>1</v>
      </c>
      <c r="B236" s="421">
        <v>1594.2</v>
      </c>
      <c r="C236" s="421">
        <v>1610</v>
      </c>
      <c r="D236" s="419">
        <v>1677</v>
      </c>
      <c r="E236" s="419">
        <v>1707</v>
      </c>
      <c r="F236" s="419">
        <v>1742</v>
      </c>
      <c r="G236" s="419">
        <v>1778</v>
      </c>
      <c r="H236" s="419">
        <v>1825</v>
      </c>
      <c r="I236" s="419"/>
      <c r="J236" s="419"/>
      <c r="K236" s="419"/>
      <c r="L236" s="419"/>
      <c r="M236" s="419"/>
      <c r="N236" s="419"/>
      <c r="O236" s="419"/>
      <c r="P236" s="419"/>
      <c r="Q236" s="419"/>
      <c r="R236" s="419"/>
      <c r="S236" s="419"/>
      <c r="T236" s="423"/>
      <c r="U236" s="421"/>
      <c r="V236" s="420">
        <f t="shared" si="7"/>
        <v>7</v>
      </c>
    </row>
    <row r="237" spans="1:39" x14ac:dyDescent="0.2">
      <c r="A237" s="416">
        <v>2</v>
      </c>
      <c r="B237" s="421">
        <v>1594.2</v>
      </c>
      <c r="C237" s="419">
        <v>1644</v>
      </c>
      <c r="D237" s="419">
        <v>1707</v>
      </c>
      <c r="E237" s="419">
        <v>1778</v>
      </c>
      <c r="F237" s="419">
        <v>1825</v>
      </c>
      <c r="G237" s="419">
        <v>1878</v>
      </c>
      <c r="H237" s="419">
        <v>1944</v>
      </c>
      <c r="I237" s="419">
        <v>2006</v>
      </c>
      <c r="J237" s="419"/>
      <c r="K237" s="419"/>
      <c r="L237" s="419"/>
      <c r="M237" s="419"/>
      <c r="N237" s="419"/>
      <c r="O237" s="419"/>
      <c r="P237" s="419"/>
      <c r="Q237" s="419"/>
      <c r="R237" s="419"/>
      <c r="S237" s="419"/>
      <c r="T237" s="423"/>
      <c r="U237" s="421"/>
      <c r="V237" s="420">
        <f t="shared" si="7"/>
        <v>8</v>
      </c>
    </row>
    <row r="238" spans="1:39" x14ac:dyDescent="0.2">
      <c r="A238" s="416">
        <v>3</v>
      </c>
      <c r="B238" s="421">
        <v>1594.2</v>
      </c>
      <c r="C238" s="419">
        <v>1707</v>
      </c>
      <c r="D238" s="419">
        <v>1778</v>
      </c>
      <c r="E238" s="419">
        <v>1878</v>
      </c>
      <c r="F238" s="419">
        <v>1944</v>
      </c>
      <c r="G238" s="419">
        <v>2006</v>
      </c>
      <c r="H238" s="419">
        <v>2067</v>
      </c>
      <c r="I238" s="419">
        <v>2126</v>
      </c>
      <c r="J238" s="419">
        <v>2185</v>
      </c>
      <c r="K238" s="419"/>
      <c r="L238" s="419"/>
      <c r="M238" s="419"/>
      <c r="N238" s="419"/>
      <c r="O238" s="419"/>
      <c r="P238" s="419"/>
      <c r="Q238" s="419"/>
      <c r="R238" s="419"/>
      <c r="S238" s="419"/>
      <c r="T238" s="423"/>
      <c r="U238" s="421"/>
      <c r="V238" s="420">
        <f t="shared" si="7"/>
        <v>9</v>
      </c>
    </row>
    <row r="239" spans="1:39" x14ac:dyDescent="0.2">
      <c r="A239" s="416">
        <v>4</v>
      </c>
      <c r="B239" s="421">
        <v>1610</v>
      </c>
      <c r="C239" s="419">
        <v>1677</v>
      </c>
      <c r="D239" s="419">
        <v>1742</v>
      </c>
      <c r="E239" s="419">
        <v>1825</v>
      </c>
      <c r="F239" s="419">
        <v>1944</v>
      </c>
      <c r="G239" s="419">
        <v>2006</v>
      </c>
      <c r="H239" s="419">
        <v>2067</v>
      </c>
      <c r="I239" s="419">
        <v>2126</v>
      </c>
      <c r="J239" s="419">
        <v>2185</v>
      </c>
      <c r="K239" s="419">
        <v>2241</v>
      </c>
      <c r="L239" s="419">
        <v>2298</v>
      </c>
      <c r="M239" s="419"/>
      <c r="N239" s="419"/>
      <c r="O239" s="419"/>
      <c r="P239" s="419"/>
      <c r="Q239" s="419"/>
      <c r="R239" s="419"/>
      <c r="S239" s="419"/>
      <c r="T239" s="423"/>
      <c r="U239" s="421"/>
      <c r="V239" s="420">
        <f t="shared" si="7"/>
        <v>11</v>
      </c>
    </row>
    <row r="240" spans="1:39" x14ac:dyDescent="0.2">
      <c r="A240" s="416">
        <v>5</v>
      </c>
      <c r="B240" s="419">
        <v>1644</v>
      </c>
      <c r="C240" s="419">
        <v>1677</v>
      </c>
      <c r="D240" s="419">
        <v>1778</v>
      </c>
      <c r="E240" s="419">
        <v>1878</v>
      </c>
      <c r="F240" s="419">
        <v>2006</v>
      </c>
      <c r="G240" s="419">
        <v>2067</v>
      </c>
      <c r="H240" s="419">
        <v>2126</v>
      </c>
      <c r="I240" s="419">
        <v>2185</v>
      </c>
      <c r="J240" s="419">
        <v>2241</v>
      </c>
      <c r="K240" s="419">
        <v>2298</v>
      </c>
      <c r="L240" s="419">
        <v>2353</v>
      </c>
      <c r="M240" s="419">
        <v>2416</v>
      </c>
      <c r="N240" s="419"/>
      <c r="O240" s="419"/>
      <c r="P240" s="419"/>
      <c r="Q240" s="419"/>
      <c r="R240" s="419"/>
      <c r="S240" s="419"/>
      <c r="T240" s="423"/>
      <c r="U240" s="421"/>
      <c r="V240" s="420">
        <f t="shared" si="7"/>
        <v>12</v>
      </c>
    </row>
    <row r="241" spans="1:22" x14ac:dyDescent="0.2">
      <c r="A241" s="416">
        <v>6</v>
      </c>
      <c r="B241" s="419">
        <v>1707</v>
      </c>
      <c r="C241" s="419">
        <v>1778</v>
      </c>
      <c r="D241" s="419">
        <v>2006</v>
      </c>
      <c r="E241" s="419">
        <v>2126</v>
      </c>
      <c r="F241" s="419">
        <v>2185</v>
      </c>
      <c r="G241" s="419">
        <v>2241</v>
      </c>
      <c r="H241" s="419">
        <v>2298</v>
      </c>
      <c r="I241" s="419">
        <v>2353</v>
      </c>
      <c r="J241" s="419">
        <v>2416</v>
      </c>
      <c r="K241" s="419">
        <v>2475</v>
      </c>
      <c r="L241" s="419">
        <v>2531</v>
      </c>
      <c r="M241" s="419"/>
      <c r="N241" s="419"/>
      <c r="O241" s="419"/>
      <c r="P241" s="419"/>
      <c r="Q241" s="419"/>
      <c r="R241" s="419"/>
      <c r="S241" s="419"/>
      <c r="T241" s="423"/>
      <c r="U241" s="421"/>
      <c r="V241" s="420">
        <f t="shared" si="7"/>
        <v>11</v>
      </c>
    </row>
    <row r="242" spans="1:22" x14ac:dyDescent="0.2">
      <c r="A242" s="416">
        <v>7</v>
      </c>
      <c r="B242" s="419">
        <v>1825</v>
      </c>
      <c r="C242" s="419">
        <v>1878</v>
      </c>
      <c r="D242" s="419">
        <v>2006</v>
      </c>
      <c r="E242" s="419">
        <v>2241</v>
      </c>
      <c r="F242" s="419">
        <v>2353</v>
      </c>
      <c r="G242" s="419">
        <v>2416</v>
      </c>
      <c r="H242" s="419">
        <v>2475</v>
      </c>
      <c r="I242" s="419">
        <v>2531</v>
      </c>
      <c r="J242" s="419">
        <v>2590</v>
      </c>
      <c r="K242" s="419">
        <v>2653</v>
      </c>
      <c r="L242" s="419">
        <v>2719</v>
      </c>
      <c r="M242" s="419">
        <v>2791</v>
      </c>
      <c r="N242" s="419"/>
      <c r="O242" s="419"/>
      <c r="P242" s="419"/>
      <c r="Q242" s="419"/>
      <c r="R242" s="419"/>
      <c r="S242" s="419"/>
      <c r="T242" s="423"/>
      <c r="U242" s="421"/>
      <c r="V242" s="420">
        <f t="shared" si="7"/>
        <v>12</v>
      </c>
    </row>
    <row r="243" spans="1:22" x14ac:dyDescent="0.2">
      <c r="A243" s="416">
        <v>8</v>
      </c>
      <c r="B243" s="419">
        <v>2067</v>
      </c>
      <c r="C243" s="419">
        <v>2126</v>
      </c>
      <c r="D243" s="419">
        <v>2241</v>
      </c>
      <c r="E243" s="419">
        <v>2475</v>
      </c>
      <c r="F243" s="419">
        <v>2590</v>
      </c>
      <c r="G243" s="419">
        <v>2719</v>
      </c>
      <c r="H243" s="419">
        <v>2791</v>
      </c>
      <c r="I243" s="419">
        <v>2857</v>
      </c>
      <c r="J243" s="419">
        <v>2916</v>
      </c>
      <c r="K243" s="419">
        <v>2979</v>
      </c>
      <c r="L243" s="419">
        <v>3043</v>
      </c>
      <c r="M243" s="419">
        <v>3102</v>
      </c>
      <c r="N243" s="419">
        <v>3157</v>
      </c>
      <c r="O243" s="419"/>
      <c r="P243" s="419"/>
      <c r="Q243" s="419"/>
      <c r="R243" s="419"/>
      <c r="S243" s="419"/>
      <c r="T243" s="423"/>
      <c r="U243" s="421"/>
      <c r="V243" s="420">
        <f t="shared" si="7"/>
        <v>13</v>
      </c>
    </row>
    <row r="244" spans="1:22" x14ac:dyDescent="0.2">
      <c r="A244" s="416">
        <v>9</v>
      </c>
      <c r="B244" s="419">
        <v>2394</v>
      </c>
      <c r="C244" s="419">
        <v>2516</v>
      </c>
      <c r="D244" s="419">
        <v>2762</v>
      </c>
      <c r="E244" s="419">
        <v>2903</v>
      </c>
      <c r="F244" s="419">
        <v>3025</v>
      </c>
      <c r="G244" s="419">
        <v>3149</v>
      </c>
      <c r="H244" s="419">
        <v>3266</v>
      </c>
      <c r="I244" s="419">
        <v>3383</v>
      </c>
      <c r="J244" s="419">
        <v>3510</v>
      </c>
      <c r="K244" s="419">
        <v>3622</v>
      </c>
      <c r="L244" s="419"/>
      <c r="M244" s="419"/>
      <c r="N244" s="419"/>
      <c r="O244" s="419"/>
      <c r="P244" s="419"/>
      <c r="Q244" s="419"/>
      <c r="R244" s="419"/>
      <c r="S244" s="419"/>
      <c r="T244" s="423"/>
      <c r="U244" s="421"/>
      <c r="V244" s="420">
        <f t="shared" si="7"/>
        <v>10</v>
      </c>
    </row>
    <row r="245" spans="1:22" x14ac:dyDescent="0.2">
      <c r="A245" s="416">
        <v>10</v>
      </c>
      <c r="B245" s="419">
        <v>2377</v>
      </c>
      <c r="C245" s="419">
        <v>2616</v>
      </c>
      <c r="D245" s="419">
        <v>2745</v>
      </c>
      <c r="E245" s="419">
        <v>2886</v>
      </c>
      <c r="F245" s="419">
        <v>3008</v>
      </c>
      <c r="G245" s="419">
        <v>3232</v>
      </c>
      <c r="H245" s="419">
        <v>3249</v>
      </c>
      <c r="I245" s="419">
        <v>3365</v>
      </c>
      <c r="J245" s="419">
        <v>3493</v>
      </c>
      <c r="K245" s="419">
        <v>3604</v>
      </c>
      <c r="L245" s="419">
        <v>3721</v>
      </c>
      <c r="M245" s="419">
        <v>3833</v>
      </c>
      <c r="N245" s="419">
        <v>3961</v>
      </c>
      <c r="O245" s="419"/>
      <c r="P245" s="419"/>
      <c r="Q245" s="419"/>
      <c r="R245" s="419"/>
      <c r="S245" s="419"/>
      <c r="T245" s="423"/>
      <c r="U245" s="421"/>
      <c r="V245" s="420">
        <f t="shared" si="7"/>
        <v>13</v>
      </c>
    </row>
    <row r="246" spans="1:22" x14ac:dyDescent="0.2">
      <c r="A246" s="416">
        <v>11</v>
      </c>
      <c r="B246" s="419">
        <v>2499</v>
      </c>
      <c r="C246" s="419">
        <v>2616</v>
      </c>
      <c r="D246" s="419">
        <v>2745</v>
      </c>
      <c r="E246" s="419">
        <v>2886</v>
      </c>
      <c r="F246" s="419">
        <v>3008</v>
      </c>
      <c r="G246" s="419">
        <v>3132</v>
      </c>
      <c r="H246" s="419">
        <v>3249</v>
      </c>
      <c r="I246" s="419">
        <v>3493</v>
      </c>
      <c r="J246" s="419">
        <v>3604</v>
      </c>
      <c r="K246" s="419">
        <v>3721</v>
      </c>
      <c r="L246" s="419">
        <v>3833</v>
      </c>
      <c r="M246" s="419">
        <v>3961</v>
      </c>
      <c r="N246" s="419">
        <v>4086</v>
      </c>
      <c r="O246" s="419">
        <v>4209</v>
      </c>
      <c r="P246" s="419">
        <v>4326</v>
      </c>
      <c r="Q246" s="419">
        <v>4446</v>
      </c>
      <c r="R246" s="419">
        <v>4559</v>
      </c>
      <c r="S246" s="419">
        <v>4621</v>
      </c>
      <c r="T246" s="423"/>
      <c r="U246" s="421"/>
      <c r="V246" s="420">
        <f t="shared" si="7"/>
        <v>18</v>
      </c>
    </row>
    <row r="247" spans="1:22" x14ac:dyDescent="0.2">
      <c r="A247" s="416">
        <v>12</v>
      </c>
      <c r="B247" s="419">
        <v>3365</v>
      </c>
      <c r="C247" s="419">
        <v>3493</v>
      </c>
      <c r="D247" s="419">
        <v>3604</v>
      </c>
      <c r="E247" s="419">
        <v>3721</v>
      </c>
      <c r="F247" s="419">
        <v>3833</v>
      </c>
      <c r="G247" s="419">
        <v>3961</v>
      </c>
      <c r="H247" s="419">
        <v>4209</v>
      </c>
      <c r="I247" s="419">
        <v>4326</v>
      </c>
      <c r="J247" s="419">
        <v>4446</v>
      </c>
      <c r="K247" s="419">
        <v>4559</v>
      </c>
      <c r="L247" s="419">
        <v>4682</v>
      </c>
      <c r="M247" s="419">
        <v>4802</v>
      </c>
      <c r="N247" s="419">
        <v>4916</v>
      </c>
      <c r="O247" s="419">
        <v>5036</v>
      </c>
      <c r="P247" s="419">
        <v>5183</v>
      </c>
      <c r="Q247" s="419">
        <v>5258</v>
      </c>
      <c r="R247" s="419"/>
      <c r="S247" s="419"/>
      <c r="T247" s="423"/>
      <c r="U247" s="421"/>
      <c r="V247" s="420">
        <f t="shared" si="7"/>
        <v>16</v>
      </c>
    </row>
    <row r="248" spans="1:22" x14ac:dyDescent="0.2">
      <c r="A248" s="416">
        <v>13</v>
      </c>
      <c r="B248" s="419">
        <v>4086</v>
      </c>
      <c r="C248" s="419">
        <v>4209</v>
      </c>
      <c r="D248" s="419">
        <v>4326</v>
      </c>
      <c r="E248" s="419">
        <v>4446</v>
      </c>
      <c r="F248" s="419">
        <v>4559</v>
      </c>
      <c r="G248" s="419">
        <v>4802</v>
      </c>
      <c r="H248" s="419">
        <v>4916</v>
      </c>
      <c r="I248" s="419">
        <v>5036</v>
      </c>
      <c r="J248" s="419">
        <v>5183</v>
      </c>
      <c r="K248" s="419">
        <v>5332</v>
      </c>
      <c r="L248" s="419">
        <v>5481</v>
      </c>
      <c r="M248" s="419">
        <v>5629</v>
      </c>
      <c r="N248" s="419">
        <v>5702</v>
      </c>
      <c r="O248" s="419"/>
      <c r="P248" s="419"/>
      <c r="Q248" s="419"/>
      <c r="R248" s="419"/>
      <c r="S248" s="419"/>
      <c r="T248" s="423"/>
      <c r="U248" s="421"/>
      <c r="V248" s="420">
        <f t="shared" si="7"/>
        <v>13</v>
      </c>
    </row>
    <row r="249" spans="1:22" x14ac:dyDescent="0.2">
      <c r="A249" s="416">
        <v>14</v>
      </c>
      <c r="B249" s="419">
        <v>4682</v>
      </c>
      <c r="C249" s="419">
        <v>4802</v>
      </c>
      <c r="D249" s="419">
        <v>5036</v>
      </c>
      <c r="E249" s="419">
        <v>5183</v>
      </c>
      <c r="F249" s="419">
        <v>5332</v>
      </c>
      <c r="G249" s="419">
        <v>5481</v>
      </c>
      <c r="H249" s="419">
        <v>5629</v>
      </c>
      <c r="I249" s="419">
        <v>5779</v>
      </c>
      <c r="J249" s="419">
        <v>5938</v>
      </c>
      <c r="K249" s="419">
        <v>6097</v>
      </c>
      <c r="L249" s="419">
        <v>6264</v>
      </c>
      <c r="M249" s="419"/>
      <c r="N249" s="419"/>
      <c r="O249" s="419"/>
      <c r="P249" s="419"/>
      <c r="Q249" s="419"/>
      <c r="R249" s="419"/>
      <c r="S249" s="419"/>
      <c r="T249" s="423"/>
      <c r="U249" s="421"/>
      <c r="V249" s="420">
        <f t="shared" si="7"/>
        <v>11</v>
      </c>
    </row>
    <row r="250" spans="1:22" x14ac:dyDescent="0.2">
      <c r="A250" s="416">
        <v>15</v>
      </c>
      <c r="B250" s="419">
        <v>4916</v>
      </c>
      <c r="C250" s="419">
        <v>5036</v>
      </c>
      <c r="D250" s="419">
        <v>5183</v>
      </c>
      <c r="E250" s="419">
        <v>5481</v>
      </c>
      <c r="F250" s="419">
        <v>5629</v>
      </c>
      <c r="G250" s="419">
        <v>5779</v>
      </c>
      <c r="H250" s="419">
        <v>5938</v>
      </c>
      <c r="I250" s="419">
        <v>6097</v>
      </c>
      <c r="J250" s="419">
        <v>6264</v>
      </c>
      <c r="K250" s="419">
        <v>6463</v>
      </c>
      <c r="L250" s="419">
        <v>6671</v>
      </c>
      <c r="M250" s="419">
        <v>6883</v>
      </c>
      <c r="N250" s="419"/>
      <c r="O250" s="419"/>
      <c r="P250" s="419"/>
      <c r="Q250" s="419"/>
      <c r="R250" s="419"/>
      <c r="S250" s="419"/>
      <c r="T250" s="427"/>
      <c r="U250" s="428"/>
      <c r="V250" s="420">
        <f t="shared" si="7"/>
        <v>12</v>
      </c>
    </row>
    <row r="251" spans="1:22" x14ac:dyDescent="0.2">
      <c r="A251" s="416">
        <v>16</v>
      </c>
      <c r="B251" s="419">
        <v>5332</v>
      </c>
      <c r="C251" s="419">
        <v>5481</v>
      </c>
      <c r="D251" s="419">
        <v>5629</v>
      </c>
      <c r="E251" s="419">
        <v>5938</v>
      </c>
      <c r="F251" s="419">
        <v>6097</v>
      </c>
      <c r="G251" s="419">
        <v>6264</v>
      </c>
      <c r="H251" s="419">
        <v>6463</v>
      </c>
      <c r="I251" s="419">
        <v>6671</v>
      </c>
      <c r="J251" s="419">
        <v>6883</v>
      </c>
      <c r="K251" s="419">
        <v>7104</v>
      </c>
      <c r="L251" s="419">
        <v>7327</v>
      </c>
      <c r="M251" s="419">
        <v>7561</v>
      </c>
      <c r="N251" s="419"/>
      <c r="O251" s="419"/>
      <c r="P251" s="419"/>
      <c r="Q251" s="419"/>
      <c r="R251" s="419"/>
      <c r="S251" s="419"/>
      <c r="T251" s="427"/>
      <c r="U251" s="428"/>
      <c r="V251" s="420">
        <f t="shared" si="7"/>
        <v>12</v>
      </c>
    </row>
  </sheetData>
  <sheetProtection algorithmName="SHA-512" hashValue="m24H5hIPtONMfdK8iT8XphSv9ZB1xOUWHWfDHcGY/XpG+VOTOhpQm2FjbJUcUmU7ui/IjvjL+ydi7ib1hXFNqA==" saltValue="H3C3ParfTEZcLjCpeHHN4g==" spinCount="100000" sheet="1" objects="1" scenarios="1"/>
  <mergeCells count="4">
    <mergeCell ref="B73:C73"/>
    <mergeCell ref="B118:C118"/>
    <mergeCell ref="B163:C163"/>
    <mergeCell ref="B208:C208"/>
  </mergeCells>
  <phoneticPr fontId="0" type="noConversion"/>
  <hyperlinks>
    <hyperlink ref="J6" r:id="rId1"/>
    <hyperlink ref="J17" r:id="rId2"/>
    <hyperlink ref="J13" r:id="rId3"/>
    <hyperlink ref="J9" r:id="rId4"/>
    <hyperlink ref="J12" r:id="rId5"/>
    <hyperlink ref="J10" r:id="rId6"/>
    <hyperlink ref="E58" r:id="rId7"/>
  </hyperlinks>
  <printOptions gridLines="1"/>
  <pageMargins left="0.74803149606299213" right="0.74803149606299213" top="0.98425196850393704" bottom="0.98425196850393704" header="0.51181102362204722" footer="0.51181102362204722"/>
  <pageSetup paperSize="9" scale="83" orientation="portrait" r:id="rId8"/>
  <headerFooter alignWithMargins="0">
    <oddHeader>&amp;L&amp;"Arial,Vet"&amp;A&amp;C&amp;"Arial,Vet"&amp;D&amp;R&amp;"Arial,Vet"&amp;F</oddHeader>
    <oddFooter>&amp;L&amp;"Arial,Vet"&amp;8gemaakt door keizer en goedhart, PO-Raad&amp;R&amp;"Arial,Vet"&amp;P</oddFooter>
  </headerFooter>
  <legacy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15</vt:i4>
      </vt:variant>
    </vt:vector>
  </HeadingPairs>
  <TitlesOfParts>
    <vt:vector size="22" baseType="lpstr">
      <vt:lpstr>toel</vt:lpstr>
      <vt:lpstr>wgl</vt:lpstr>
      <vt:lpstr>Ouderschapsverlof</vt:lpstr>
      <vt:lpstr>Functiedifferentiatie</vt:lpstr>
      <vt:lpstr>Extra periodieken</vt:lpstr>
      <vt:lpstr>wgl tot</vt:lpstr>
      <vt:lpstr>tabellen</vt:lpstr>
      <vt:lpstr>'Extra periodieken'!Afdrukbereik</vt:lpstr>
      <vt:lpstr>Functiedifferentiatie!Afdrukbereik</vt:lpstr>
      <vt:lpstr>Ouderschapsverlof!Afdrukbereik</vt:lpstr>
      <vt:lpstr>tabellen!Afdrukbereik</vt:lpstr>
      <vt:lpstr>toel!Afdrukbereik</vt:lpstr>
      <vt:lpstr>wgl!Afdrukbereik</vt:lpstr>
      <vt:lpstr>'wgl tot'!Afdrukbereik</vt:lpstr>
      <vt:lpstr>arbeidskorting</vt:lpstr>
      <vt:lpstr>eindejaarsuitkering_OOP</vt:lpstr>
      <vt:lpstr>premies</vt:lpstr>
      <vt:lpstr>saltab2016</vt:lpstr>
      <vt:lpstr>saltab2018sept</vt:lpstr>
      <vt:lpstr>saltab2019</vt:lpstr>
      <vt:lpstr>saltab2020</vt:lpstr>
      <vt:lpstr>uitlooptoeslag</vt:lpstr>
    </vt:vector>
  </TitlesOfParts>
  <Company>VOS/ABB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Personele kosten onder LS PO</dc:title>
  <dc:creator>Keizer</dc:creator>
  <cp:lastModifiedBy>B Keizer</cp:lastModifiedBy>
  <cp:lastPrinted>2018-08-27T07:53:59Z</cp:lastPrinted>
  <dcterms:created xsi:type="dcterms:W3CDTF">2002-04-23T20:54:25Z</dcterms:created>
  <dcterms:modified xsi:type="dcterms:W3CDTF">2018-09-21T20:32:42Z</dcterms:modified>
</cp:coreProperties>
</file>