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19\basisschool\"/>
    </mc:Choice>
  </mc:AlternateContent>
  <bookViews>
    <workbookView xWindow="0" yWindow="0" windowWidth="19200" windowHeight="11595" tabRatio="855" activeTab="1"/>
  </bookViews>
  <sheets>
    <sheet name="toelichting" sheetId="2" r:id="rId1"/>
    <sheet name="faciliteiten bij fusie" sheetId="1" r:id="rId2"/>
    <sheet name="complete leerlingpopulatie" sheetId="13" r:id="rId3"/>
    <sheet name="berekeningen bij fusie" sheetId="6" r:id="rId4"/>
    <sheet name="faciliteiten bij opheffing" sheetId="12" r:id="rId5"/>
    <sheet name="bas met sbo" sheetId="14" r:id="rId6"/>
    <sheet name="tab" sheetId="3" r:id="rId7"/>
  </sheets>
  <definedNames>
    <definedName name="_xlnm.Print_Area" localSheetId="5">'bas met sbo'!$B$2:$H$32</definedName>
    <definedName name="_xlnm.Print_Area" localSheetId="3">'berekeningen bij fusie'!$B$2:$Q$80</definedName>
    <definedName name="_xlnm.Print_Area" localSheetId="2">'complete leerlingpopulatie'!$B$2:$K$60</definedName>
    <definedName name="_xlnm.Print_Area" localSheetId="1">'faciliteiten bij fusie'!$B$2:$Q$146</definedName>
    <definedName name="_xlnm.Print_Area" localSheetId="4">'faciliteiten bij opheffing'!$B$2:$I$64</definedName>
    <definedName name="_xlnm.Print_Area" localSheetId="6">tab!$B$2:$H$91</definedName>
    <definedName name="_xlnm.Print_Area" localSheetId="0">toelichting!$B$2:$I$130</definedName>
  </definedNames>
  <calcPr calcId="152511"/>
</workbook>
</file>

<file path=xl/calcChain.xml><?xml version="1.0" encoding="utf-8"?>
<calcChain xmlns="http://schemas.openxmlformats.org/spreadsheetml/2006/main">
  <c r="G25" i="12" l="1"/>
  <c r="C4" i="2"/>
  <c r="E4" i="3" l="1"/>
  <c r="F4" i="3" s="1"/>
  <c r="G4" i="3" s="1"/>
  <c r="E3" i="3"/>
  <c r="F3" i="3" s="1"/>
  <c r="G3" i="3" s="1"/>
  <c r="H3" i="3" s="1"/>
  <c r="G42" i="13"/>
  <c r="H42" i="13"/>
  <c r="I42" i="13"/>
  <c r="F42" i="13"/>
  <c r="M84" i="1" l="1"/>
  <c r="I84" i="1"/>
  <c r="E84" i="1"/>
  <c r="M58" i="1"/>
  <c r="I58" i="1"/>
  <c r="E58" i="1"/>
  <c r="M38" i="1"/>
  <c r="I38" i="1"/>
  <c r="E38" i="1"/>
  <c r="M15" i="1"/>
  <c r="I15" i="1"/>
  <c r="E15" i="1"/>
  <c r="I3" i="3"/>
  <c r="G81" i="1" l="1"/>
  <c r="O89" i="1" l="1"/>
  <c r="O63" i="1"/>
  <c r="O43" i="1"/>
  <c r="O20" i="1"/>
  <c r="O17" i="1" l="1"/>
  <c r="O15" i="1"/>
  <c r="O14" i="1"/>
  <c r="M83" i="1"/>
  <c r="M57" i="1"/>
  <c r="M37" i="1"/>
  <c r="I83" i="1"/>
  <c r="I57" i="1"/>
  <c r="I37" i="1"/>
  <c r="M14" i="1"/>
  <c r="I14" i="1"/>
  <c r="F20" i="14" l="1"/>
  <c r="F21" i="14" s="1"/>
  <c r="K65" i="1" l="1"/>
  <c r="K68" i="1"/>
  <c r="K67" i="1"/>
  <c r="K66" i="1"/>
  <c r="K48" i="1"/>
  <c r="K25" i="1"/>
  <c r="K47" i="1"/>
  <c r="K46" i="1"/>
  <c r="K45" i="1"/>
  <c r="K27" i="1"/>
  <c r="K24" i="1"/>
  <c r="K23" i="1"/>
  <c r="K22" i="1"/>
  <c r="O39" i="6" l="1"/>
  <c r="G39" i="6"/>
  <c r="F16" i="14" l="1"/>
  <c r="D14" i="14"/>
  <c r="D47" i="3" l="1"/>
  <c r="D46" i="3"/>
  <c r="F15" i="14" l="1"/>
  <c r="F17" i="14" s="1"/>
  <c r="F28" i="14" l="1"/>
  <c r="F24" i="14"/>
  <c r="F29" i="14"/>
  <c r="F27" i="14"/>
  <c r="F26" i="14"/>
  <c r="F25" i="14"/>
  <c r="O61" i="1"/>
  <c r="O60" i="1"/>
  <c r="O58" i="1"/>
  <c r="O57" i="1"/>
  <c r="K39" i="1"/>
  <c r="K35" i="6" s="1"/>
  <c r="O41" i="1"/>
  <c r="O40" i="1"/>
  <c r="O38" i="1"/>
  <c r="G84" i="1" s="1"/>
  <c r="O84" i="1" s="1"/>
  <c r="O37" i="1"/>
  <c r="O18" i="1"/>
  <c r="J88" i="1"/>
  <c r="K74" i="6" s="1"/>
  <c r="K93" i="1" s="1"/>
  <c r="J62" i="1"/>
  <c r="K55" i="6" s="1"/>
  <c r="J42" i="1"/>
  <c r="K39" i="6" s="1"/>
  <c r="J19" i="1"/>
  <c r="K20" i="6" s="1"/>
  <c r="G86" i="1" l="1"/>
  <c r="O86" i="1" s="1"/>
  <c r="G83" i="1"/>
  <c r="O83" i="1" s="1"/>
  <c r="O85" i="1" s="1"/>
  <c r="G87" i="1"/>
  <c r="O87" i="1" s="1"/>
  <c r="F23" i="14"/>
  <c r="N42" i="1"/>
  <c r="N62" i="1"/>
  <c r="O55" i="6" s="1"/>
  <c r="O39" i="1"/>
  <c r="O59" i="1"/>
  <c r="K36" i="6"/>
  <c r="K50" i="1" s="1"/>
  <c r="O16" i="1"/>
  <c r="K44" i="1"/>
  <c r="K42" i="1" s="1"/>
  <c r="N19" i="1"/>
  <c r="O20" i="6" s="1"/>
  <c r="O24" i="1" s="1"/>
  <c r="K16" i="1"/>
  <c r="N88" i="1" l="1"/>
  <c r="O74" i="6" s="1"/>
  <c r="O93" i="1" s="1"/>
  <c r="O64" i="1"/>
  <c r="O62" i="1" s="1"/>
  <c r="O51" i="6"/>
  <c r="G56" i="13" s="1"/>
  <c r="O21" i="1"/>
  <c r="O19" i="1" s="1"/>
  <c r="O44" i="1"/>
  <c r="O42" i="1" s="1"/>
  <c r="O90" i="1"/>
  <c r="O88" i="1" s="1"/>
  <c r="K16" i="6"/>
  <c r="K17" i="6"/>
  <c r="K42" i="6"/>
  <c r="K41" i="6"/>
  <c r="K21" i="1"/>
  <c r="K19" i="1" s="1"/>
  <c r="G64" i="6"/>
  <c r="G45" i="6"/>
  <c r="G29" i="6"/>
  <c r="G10" i="6"/>
  <c r="D14" i="12" l="1"/>
  <c r="D13" i="12"/>
  <c r="R50" i="13" l="1"/>
  <c r="Q50" i="13"/>
  <c r="P50" i="13"/>
  <c r="O50" i="13"/>
  <c r="R49" i="13"/>
  <c r="Q49" i="13"/>
  <c r="P49" i="13"/>
  <c r="O49" i="13"/>
  <c r="R48" i="13"/>
  <c r="Q48" i="13"/>
  <c r="P48" i="13"/>
  <c r="O48" i="13"/>
  <c r="R47" i="13"/>
  <c r="Q47" i="13"/>
  <c r="P47" i="13"/>
  <c r="O47" i="13"/>
  <c r="R46" i="13"/>
  <c r="Q46" i="13"/>
  <c r="P46" i="13"/>
  <c r="O46" i="13"/>
  <c r="R45" i="13"/>
  <c r="Q45" i="13"/>
  <c r="P45" i="13"/>
  <c r="O45" i="13"/>
  <c r="R44" i="13"/>
  <c r="Q44" i="13"/>
  <c r="P44" i="13"/>
  <c r="O44" i="13"/>
  <c r="O43" i="13"/>
  <c r="R29" i="13"/>
  <c r="Q29" i="13"/>
  <c r="P29" i="13"/>
  <c r="O29" i="13"/>
  <c r="R28" i="13"/>
  <c r="Q28" i="13"/>
  <c r="P28" i="13"/>
  <c r="O28" i="13"/>
  <c r="R27" i="13"/>
  <c r="Q27" i="13"/>
  <c r="P27" i="13"/>
  <c r="O27" i="13"/>
  <c r="R26" i="13"/>
  <c r="Q26" i="13"/>
  <c r="P26" i="13"/>
  <c r="O26" i="13"/>
  <c r="R25" i="13"/>
  <c r="Q25" i="13"/>
  <c r="P25" i="13"/>
  <c r="O25" i="13"/>
  <c r="R24" i="13"/>
  <c r="Q24" i="13"/>
  <c r="P24" i="13"/>
  <c r="O24" i="13"/>
  <c r="R23" i="13"/>
  <c r="Q23" i="13"/>
  <c r="P23" i="13"/>
  <c r="O23" i="13"/>
  <c r="R22" i="13"/>
  <c r="Q22" i="13"/>
  <c r="P22" i="13"/>
  <c r="O22" i="13"/>
  <c r="F51" i="13"/>
  <c r="F55" i="13" s="1"/>
  <c r="R43" i="13"/>
  <c r="Q43" i="13"/>
  <c r="P43" i="13"/>
  <c r="C4" i="6"/>
  <c r="F30" i="13"/>
  <c r="Q30" i="13" l="1"/>
  <c r="H31" i="13" s="1"/>
  <c r="P30" i="13"/>
  <c r="G31" i="13" s="1"/>
  <c r="P51" i="13"/>
  <c r="G52" i="13" s="1"/>
  <c r="R51" i="13"/>
  <c r="I52" i="13" s="1"/>
  <c r="O51" i="13"/>
  <c r="F52" i="13" s="1"/>
  <c r="R30" i="13"/>
  <c r="I31" i="13" s="1"/>
  <c r="Q51" i="13"/>
  <c r="H52" i="13" s="1"/>
  <c r="O30" i="13"/>
  <c r="F31" i="13" s="1"/>
  <c r="I51" i="13" l="1"/>
  <c r="F54" i="13" s="1"/>
  <c r="H51" i="13"/>
  <c r="G51" i="13"/>
  <c r="D39" i="13"/>
  <c r="I30" i="13"/>
  <c r="H30" i="13"/>
  <c r="G30" i="13"/>
  <c r="F34" i="13"/>
  <c r="D18" i="13"/>
  <c r="F33" i="13" l="1"/>
  <c r="E57" i="1"/>
  <c r="E83" i="1"/>
  <c r="E37" i="1"/>
  <c r="E14" i="1"/>
  <c r="C5" i="1"/>
  <c r="K59" i="1"/>
  <c r="K85" i="1"/>
  <c r="K64" i="1" l="1"/>
  <c r="K62" i="1" s="1"/>
  <c r="K90" i="1"/>
  <c r="K88" i="1" s="1"/>
  <c r="G82" i="1" l="1"/>
  <c r="E126" i="1"/>
  <c r="I126" i="1" s="1"/>
  <c r="E125" i="1"/>
  <c r="I125" i="1" s="1"/>
  <c r="K127" i="1"/>
  <c r="G127" i="1"/>
  <c r="G131" i="1" l="1"/>
  <c r="K131" i="1" l="1"/>
  <c r="G52" i="3"/>
  <c r="C59" i="3"/>
  <c r="F69" i="3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D68" i="3"/>
  <c r="E67" i="3"/>
  <c r="E66" i="3"/>
  <c r="E65" i="3"/>
  <c r="E64" i="3"/>
  <c r="D69" i="3" l="1"/>
  <c r="D70" i="3" s="1"/>
  <c r="E68" i="3"/>
  <c r="E69" i="3" l="1"/>
  <c r="E70" i="3"/>
  <c r="D71" i="3"/>
  <c r="E71" i="3" l="1"/>
  <c r="D72" i="3"/>
  <c r="D73" i="3" l="1"/>
  <c r="E72" i="3"/>
  <c r="E73" i="3" l="1"/>
  <c r="D74" i="3"/>
  <c r="E74" i="3" l="1"/>
  <c r="D75" i="3"/>
  <c r="E75" i="3" l="1"/>
  <c r="D76" i="3"/>
  <c r="D77" i="3" l="1"/>
  <c r="E76" i="3"/>
  <c r="E77" i="3" l="1"/>
  <c r="D78" i="3"/>
  <c r="E78" i="3" l="1"/>
  <c r="D79" i="3"/>
  <c r="E79" i="3" l="1"/>
  <c r="D80" i="3"/>
  <c r="D81" i="3" l="1"/>
  <c r="E80" i="3"/>
  <c r="E81" i="3" l="1"/>
  <c r="D82" i="3"/>
  <c r="E82" i="3" l="1"/>
  <c r="D83" i="3"/>
  <c r="E83" i="3" l="1"/>
  <c r="D84" i="3"/>
  <c r="D85" i="3" l="1"/>
  <c r="E84" i="3"/>
  <c r="E85" i="3" l="1"/>
  <c r="D86" i="3"/>
  <c r="E86" i="3" l="1"/>
  <c r="D87" i="3"/>
  <c r="E87" i="3" l="1"/>
  <c r="D88" i="3"/>
  <c r="D89" i="3" l="1"/>
  <c r="E88" i="3"/>
  <c r="E89" i="3" l="1"/>
  <c r="D90" i="3"/>
  <c r="E90" i="3" l="1"/>
  <c r="D91" i="3"/>
  <c r="E91" i="3" s="1"/>
  <c r="E18" i="12" l="1"/>
  <c r="G15" i="12"/>
  <c r="G20" i="12" l="1"/>
  <c r="G18" i="12" s="1"/>
  <c r="G23" i="12"/>
  <c r="G22" i="12" l="1"/>
  <c r="F62" i="1" l="1"/>
  <c r="G59" i="1"/>
  <c r="D39" i="3"/>
  <c r="O71" i="6" s="1"/>
  <c r="O96" i="1" s="1"/>
  <c r="D36" i="3"/>
  <c r="D34" i="3"/>
  <c r="D33" i="3"/>
  <c r="D32" i="3"/>
  <c r="G39" i="1"/>
  <c r="G16" i="1"/>
  <c r="D35" i="3"/>
  <c r="D38" i="3"/>
  <c r="O36" i="6" s="1"/>
  <c r="O50" i="1" s="1"/>
  <c r="F42" i="1"/>
  <c r="O47" i="1" s="1"/>
  <c r="F19" i="1"/>
  <c r="D25" i="3"/>
  <c r="D26" i="3"/>
  <c r="D29" i="3"/>
  <c r="D30" i="3"/>
  <c r="D27" i="3"/>
  <c r="D28" i="3"/>
  <c r="D31" i="3"/>
  <c r="O54" i="6" l="1"/>
  <c r="O70" i="6"/>
  <c r="O91" i="1" s="1"/>
  <c r="O35" i="6"/>
  <c r="G35" i="13" s="1"/>
  <c r="O17" i="6"/>
  <c r="O27" i="1" s="1"/>
  <c r="G27" i="12"/>
  <c r="G29" i="12" s="1"/>
  <c r="K33" i="6"/>
  <c r="G33" i="6"/>
  <c r="G49" i="6"/>
  <c r="G14" i="6"/>
  <c r="K14" i="6"/>
  <c r="K68" i="6"/>
  <c r="G48" i="6"/>
  <c r="K32" i="6"/>
  <c r="K13" i="6"/>
  <c r="G32" i="6"/>
  <c r="G13" i="6"/>
  <c r="K67" i="6"/>
  <c r="F56" i="13"/>
  <c r="F35" i="13"/>
  <c r="K70" i="6"/>
  <c r="K91" i="1" s="1"/>
  <c r="O19" i="6"/>
  <c r="O23" i="1" s="1"/>
  <c r="K38" i="6"/>
  <c r="K49" i="1" s="1"/>
  <c r="K19" i="6"/>
  <c r="O38" i="6"/>
  <c r="O46" i="1" s="1"/>
  <c r="K73" i="6"/>
  <c r="K92" i="1" s="1"/>
  <c r="G67" i="6"/>
  <c r="G51" i="6"/>
  <c r="O65" i="1"/>
  <c r="G17" i="6"/>
  <c r="G36" i="6"/>
  <c r="G35" i="6"/>
  <c r="G20" i="6"/>
  <c r="O16" i="6"/>
  <c r="G16" i="6"/>
  <c r="G55" i="6"/>
  <c r="G19" i="13"/>
  <c r="G40" i="13"/>
  <c r="G21" i="1"/>
  <c r="G19" i="1" s="1"/>
  <c r="G19" i="6" s="1"/>
  <c r="G44" i="1"/>
  <c r="G42" i="1" s="1"/>
  <c r="G38" i="6" s="1"/>
  <c r="K54" i="6"/>
  <c r="O52" i="6"/>
  <c r="G68" i="6"/>
  <c r="G47" i="1"/>
  <c r="G64" i="1"/>
  <c r="K52" i="6"/>
  <c r="K70" i="1" s="1"/>
  <c r="K51" i="6"/>
  <c r="G52" i="6"/>
  <c r="G70" i="1" s="1"/>
  <c r="F88" i="1"/>
  <c r="G74" i="6" s="1"/>
  <c r="G93" i="1" s="1"/>
  <c r="K71" i="6"/>
  <c r="G85" i="1"/>
  <c r="K48" i="6"/>
  <c r="K49" i="6"/>
  <c r="O45" i="1" l="1"/>
  <c r="G65" i="1"/>
  <c r="O71" i="1"/>
  <c r="O28" i="1"/>
  <c r="O49" i="6"/>
  <c r="O33" i="6"/>
  <c r="O32" i="6"/>
  <c r="O42" i="6" s="1"/>
  <c r="G36" i="13" s="1"/>
  <c r="F36" i="13" s="1"/>
  <c r="O51" i="1"/>
  <c r="O68" i="6"/>
  <c r="O48" i="6"/>
  <c r="O58" i="6" s="1"/>
  <c r="G57" i="13" s="1"/>
  <c r="F57" i="13" s="1"/>
  <c r="K23" i="6"/>
  <c r="K22" i="6"/>
  <c r="O67" i="6"/>
  <c r="O13" i="6"/>
  <c r="O14" i="6"/>
  <c r="O25" i="1"/>
  <c r="K96" i="1"/>
  <c r="K76" i="6"/>
  <c r="O70" i="1"/>
  <c r="G109" i="1" s="1"/>
  <c r="G70" i="6"/>
  <c r="O97" i="1" s="1"/>
  <c r="G71" i="6"/>
  <c r="G67" i="1"/>
  <c r="G41" i="6"/>
  <c r="G42" i="6"/>
  <c r="O22" i="1"/>
  <c r="G22" i="6"/>
  <c r="G24" i="1"/>
  <c r="G23" i="6"/>
  <c r="K77" i="6"/>
  <c r="G45" i="1"/>
  <c r="G96" i="1"/>
  <c r="G110" i="1" s="1"/>
  <c r="K110" i="1" s="1"/>
  <c r="G46" i="1"/>
  <c r="G50" i="1"/>
  <c r="G22" i="1"/>
  <c r="G27" i="1"/>
  <c r="G62" i="1"/>
  <c r="K57" i="6"/>
  <c r="K58" i="6"/>
  <c r="G90" i="1"/>
  <c r="G88" i="1" s="1"/>
  <c r="O41" i="6" l="1"/>
  <c r="O23" i="6"/>
  <c r="G91" i="1"/>
  <c r="K94" i="1"/>
  <c r="K95" i="1" s="1"/>
  <c r="O26" i="1"/>
  <c r="O22" i="6"/>
  <c r="O67" i="1"/>
  <c r="O73" i="6"/>
  <c r="O76" i="6" s="1"/>
  <c r="G73" i="6"/>
  <c r="K26" i="1"/>
  <c r="G48" i="1"/>
  <c r="G49" i="1" s="1"/>
  <c r="G54" i="6"/>
  <c r="O48" i="1" l="1"/>
  <c r="O49" i="1" s="1"/>
  <c r="O77" i="6"/>
  <c r="O94" i="1" s="1"/>
  <c r="O92" i="1"/>
  <c r="G77" i="6"/>
  <c r="G94" i="1" s="1"/>
  <c r="G92" i="1"/>
  <c r="O68" i="1"/>
  <c r="O66" i="1"/>
  <c r="G57" i="6"/>
  <c r="G66" i="1"/>
  <c r="O57" i="6"/>
  <c r="G111" i="1"/>
  <c r="K109" i="1"/>
  <c r="K111" i="1" s="1"/>
  <c r="G58" i="6"/>
  <c r="G68" i="1" s="1"/>
  <c r="G76" i="6"/>
  <c r="G69" i="1" l="1"/>
  <c r="O69" i="1"/>
  <c r="O95" i="1"/>
  <c r="K69" i="1"/>
  <c r="G23" i="1" l="1"/>
  <c r="G25" i="1" l="1"/>
  <c r="G26" i="1" l="1"/>
  <c r="G105" i="1" s="1"/>
  <c r="K105" i="1" s="1"/>
  <c r="G95" i="1"/>
  <c r="G106" i="1" s="1"/>
  <c r="G113" i="1" l="1"/>
  <c r="G114" i="1"/>
  <c r="K106" i="1"/>
  <c r="K114" i="1" s="1"/>
  <c r="G115" i="1" l="1"/>
  <c r="G107" i="1"/>
  <c r="K107" i="1"/>
  <c r="K113" i="1" l="1"/>
  <c r="K115" i="1" s="1"/>
  <c r="K141" i="1" l="1"/>
  <c r="G140" i="1"/>
  <c r="G139" i="1"/>
  <c r="K142" i="1"/>
  <c r="K139" i="1"/>
  <c r="K140" i="1"/>
  <c r="G143" i="1"/>
  <c r="G142" i="1"/>
  <c r="G141" i="1"/>
  <c r="K138" i="1"/>
  <c r="G138" i="1"/>
  <c r="G136" i="1" l="1"/>
  <c r="K132" i="1" s="1"/>
  <c r="K136" i="1"/>
</calcChain>
</file>

<file path=xl/comments1.xml><?xml version="1.0" encoding="utf-8"?>
<comments xmlns="http://schemas.openxmlformats.org/spreadsheetml/2006/main">
  <authors>
    <author>B. Keizer</author>
  </authors>
  <commentList>
    <comment ref="D11" authorId="0" shapeId="0">
      <text>
        <r>
          <rPr>
            <sz val="9"/>
            <color indexed="81"/>
            <rFont val="Tahoma"/>
            <family val="2"/>
          </rPr>
          <t xml:space="preserve">
Zie beschikking DUO van 1 okt. T-1 voorafgaand aan opheffing.</t>
        </r>
      </text>
    </comment>
  </commentList>
</comments>
</file>

<file path=xl/comments2.xml><?xml version="1.0" encoding="utf-8"?>
<comments xmlns="http://schemas.openxmlformats.org/spreadsheetml/2006/main">
  <authors>
    <author>Keizer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 xml:space="preserve">
Bedragen ontleend aan laatst bekende GPL d.d. sept. 2018.</t>
        </r>
      </text>
    </comment>
    <comment ref="D49" authorId="0" shapeId="0">
      <text>
        <r>
          <rPr>
            <sz val="9"/>
            <color indexed="81"/>
            <rFont val="Tahoma"/>
            <family val="2"/>
          </rPr>
          <t xml:space="preserve">
Inclusief extra opslag (2631 euro).</t>
        </r>
      </text>
    </comment>
  </commentList>
</comments>
</file>

<file path=xl/sharedStrings.xml><?xml version="1.0" encoding="utf-8"?>
<sst xmlns="http://schemas.openxmlformats.org/spreadsheetml/2006/main" count="666" uniqueCount="323">
  <si>
    <t>met gewichtscategorie</t>
  </si>
  <si>
    <t>onderbouw</t>
  </si>
  <si>
    <t>bovenbouw</t>
  </si>
  <si>
    <t>vloer kleine school</t>
  </si>
  <si>
    <t>aftrek kleine school</t>
  </si>
  <si>
    <t>Totaal</t>
  </si>
  <si>
    <t>Leerlinggegevens</t>
  </si>
  <si>
    <t>a. basisformatie</t>
  </si>
  <si>
    <t>a.1 groepsformatie</t>
  </si>
  <si>
    <t>a.2 toeslagen</t>
  </si>
  <si>
    <t>b. formatie speciale doeleinden</t>
  </si>
  <si>
    <t>a.1.1 formatie onderbouw</t>
  </si>
  <si>
    <t>a.1.2 formatie bovenbouw</t>
  </si>
  <si>
    <t>a.2.1 kleinescholentoeslag</t>
  </si>
  <si>
    <t>b.1 formatie BOA</t>
  </si>
  <si>
    <t>Kleinescholentoeslag</t>
  </si>
  <si>
    <t>Formatie BOA</t>
  </si>
  <si>
    <t>Nevenvestiging</t>
  </si>
  <si>
    <t>Zeer-kleinescholentoeslag</t>
  </si>
  <si>
    <t>Eventuele nevenvestiging</t>
  </si>
  <si>
    <t>Zeerkleinescholentoeslag</t>
  </si>
  <si>
    <t>a. de afzonderlijke scholen zouden hebben ontvangen als er geen fusie zou hebben plaats gevonden, en</t>
  </si>
  <si>
    <t>Berekening</t>
  </si>
  <si>
    <t>Nadere toelichting bij deze applicatie</t>
  </si>
  <si>
    <t>d. formatie voor de bestrijding van onderwijsachterstanden: de formatie die wordt toegekend op basis van het aantal</t>
  </si>
  <si>
    <t xml:space="preserve">Alleen als een school met een of meer van deze componenten te maken heeft is er effect voor de vaststelling van de </t>
  </si>
  <si>
    <t xml:space="preserve">omvang van de formatie na samenvoeging. Immers de school die na de fusie ontstaat, kan een omvang of een </t>
  </si>
  <si>
    <t xml:space="preserve">De overgangsformatie wordt, met als teldatum 1 oktober T-1 voor de afzonderlijke scholen en voor de gefuseerde </t>
  </si>
  <si>
    <t>school, daarom als volgt berekend:</t>
  </si>
  <si>
    <t>bij de fusie betrokken scholen en bij elkaar gevoegd (X). Vervolgens worden de componenten berekend van de school</t>
  </si>
  <si>
    <t xml:space="preserve">Het begrip nevenvestiging is gekoppeld aan de erkenning door het departement dat een vestiging van de school  voldoet </t>
  </si>
  <si>
    <t>In de meeste situaties zal er sprake zijn van fusie tussen twee scholen. In dat geval kan het beste invulling plaats vinden</t>
  </si>
  <si>
    <t>Wanneer er sprake is van een fusie tussen school A en een school met nevenvestiging, dienen de gegevens van deze</t>
  </si>
  <si>
    <t xml:space="preserve">aan nadere voorwaarden (artikel 85 WPO) waardoor het gunstiger bekostigd wordt. </t>
  </si>
  <si>
    <t>Desgewenst kunt u dus de beveiliging opheffen en de werkbladen aanpassen.</t>
  </si>
  <si>
    <t>Vooraf</t>
  </si>
  <si>
    <t>schooljaar</t>
  </si>
  <si>
    <t>Directie</t>
  </si>
  <si>
    <t>OP (landelijk)</t>
  </si>
  <si>
    <t>OP  leeftijdsgecorrigeerd: voet</t>
  </si>
  <si>
    <t>Landelijke GGL =</t>
  </si>
  <si>
    <t xml:space="preserve">Lumpsum </t>
  </si>
  <si>
    <t>onderbouwformatie vast</t>
  </si>
  <si>
    <t>onderbouwformatie per ll</t>
  </si>
  <si>
    <t>onderwijsachterstand (BOA)</t>
  </si>
  <si>
    <t>bovenbouwformatie vast</t>
  </si>
  <si>
    <t>bovenbouwformatie per ll</t>
  </si>
  <si>
    <t>onderw.achterst.vast (schoolgewicht)</t>
  </si>
  <si>
    <t>onderw.achterst.per ll. (schoolgewicht)</t>
  </si>
  <si>
    <t>voet kleine scholen toeslag (vast deel)</t>
  </si>
  <si>
    <t>voet kleine scholen toeslag (leeftijdsafhankelijk deel)</t>
  </si>
  <si>
    <t>aftrek kleine scholen toeslag (vast deel)</t>
  </si>
  <si>
    <t>aftrek kleine scholen toeslag (leeftijdsafhankelijk deel)</t>
  </si>
  <si>
    <t>zeer kleine scholen toeslag (vast deel)</t>
  </si>
  <si>
    <t>zeer kleine scholen toeslag (leeftijdsafhankelijk deel)</t>
  </si>
  <si>
    <t>omslagpunt lln. directietoeslag</t>
  </si>
  <si>
    <t>toeslag directie</t>
  </si>
  <si>
    <t>totale formatie is tenminste</t>
  </si>
  <si>
    <t>a.2.2 salaire toeslag schoolleiding</t>
  </si>
  <si>
    <t>Totaal toekenning formatie in geld</t>
  </si>
  <si>
    <t>GGL</t>
  </si>
  <si>
    <t>WTF</t>
  </si>
  <si>
    <t>dir. toeslag</t>
  </si>
  <si>
    <t>a. verhoging t.b.v. zeer kleine scholen: het gaat hier om de garantie dat ook de kleinste school voldoende geld ontvangt,</t>
  </si>
  <si>
    <t xml:space="preserve">Factor X </t>
  </si>
  <si>
    <t>Factor Y</t>
  </si>
  <si>
    <t>bekostiging</t>
  </si>
  <si>
    <t>totaal</t>
  </si>
  <si>
    <t>jaar t</t>
  </si>
  <si>
    <t>jaar t-1</t>
  </si>
  <si>
    <t>Schoolgewicht:</t>
  </si>
  <si>
    <t xml:space="preserve">Komt uit een fusie een school voort met een nevenvestiging, dan moeten de gegevens van alleen de nevenvestiging van </t>
  </si>
  <si>
    <t>school ABC worden ingevuld. Het leerlingaantal van de hoofdvestiging wordt dan automatisch berekend.</t>
  </si>
  <si>
    <t>drempel schoolgewicht</t>
  </si>
  <si>
    <t>bedrag per gewichtsleerling in Impulsgebied</t>
  </si>
  <si>
    <t>b.2 impulsgebiedtoeslag</t>
  </si>
  <si>
    <t>Impulsgebiedstoeslag</t>
  </si>
  <si>
    <t>die na de fusie is ontstaan (Y).</t>
  </si>
  <si>
    <t>extra toeslag directie</t>
  </si>
  <si>
    <t>nee</t>
  </si>
  <si>
    <t xml:space="preserve">Als een school bestaat uit één of meer (formeel erkende) vestigingen wordt de toeslag impulsgebieden per vestiging berekend. </t>
  </si>
  <si>
    <t>Directietoeslag</t>
  </si>
  <si>
    <t>aanvullende bekostiging schoolleider 1</t>
  </si>
  <si>
    <t>aanvullende bekostiging schoolleider 2</t>
  </si>
  <si>
    <t>www.poraad.nl</t>
  </si>
  <si>
    <t>Vestiging ligt in impulsgebied</t>
  </si>
  <si>
    <t xml:space="preserve">Voor nadere informatie: </t>
  </si>
  <si>
    <t>Formatieve bekostiging</t>
  </si>
  <si>
    <t>Factor Ys</t>
  </si>
  <si>
    <t>Factor Xs</t>
  </si>
  <si>
    <t>Kievitschool</t>
  </si>
  <si>
    <t>Gruttoschool</t>
  </si>
  <si>
    <t>leeftijdscohorten</t>
  </si>
  <si>
    <t>4 jaar</t>
  </si>
  <si>
    <t>5 jaar</t>
  </si>
  <si>
    <t>6 jaar</t>
  </si>
  <si>
    <t>7 jaar</t>
  </si>
  <si>
    <t>8 jaar</t>
  </si>
  <si>
    <t>9 jaar</t>
  </si>
  <si>
    <t>10 jaar</t>
  </si>
  <si>
    <t>11 jaar en ouder</t>
  </si>
  <si>
    <t>Substantiële fusie-instroom</t>
  </si>
  <si>
    <t>1e schooljaar na fusie</t>
  </si>
  <si>
    <t>2e schooljaar na fusie</t>
  </si>
  <si>
    <t>3e schooljaar na fusie</t>
  </si>
  <si>
    <t>4e schooljaar na fusie</t>
  </si>
  <si>
    <t>5e schooljaar na fusie</t>
  </si>
  <si>
    <t>complete leerlingpopulatie</t>
  </si>
  <si>
    <t>Factor Q</t>
  </si>
  <si>
    <t>Factor R</t>
  </si>
  <si>
    <t>Factor S</t>
  </si>
  <si>
    <t>Aftrek:</t>
  </si>
  <si>
    <t>Materiële bekostiging</t>
  </si>
  <si>
    <t>bij bepalen 'G'</t>
  </si>
  <si>
    <t>factor OB</t>
  </si>
  <si>
    <t>factor BB</t>
  </si>
  <si>
    <t>factor gewicht</t>
  </si>
  <si>
    <t>factor KST</t>
  </si>
  <si>
    <t>correctie KST</t>
  </si>
  <si>
    <t>groepen</t>
  </si>
  <si>
    <t>bedrag</t>
  </si>
  <si>
    <t>toename</t>
  </si>
  <si>
    <t>norm na 6</t>
  </si>
  <si>
    <t>éénmalig</t>
  </si>
  <si>
    <t>extra na 13</t>
  </si>
  <si>
    <t>Materiële bekostiging groepsafhankelijk</t>
  </si>
  <si>
    <t>aantal groepen</t>
  </si>
  <si>
    <t>bedrag per groep</t>
  </si>
  <si>
    <t>bedrag per leerling</t>
  </si>
  <si>
    <t>aantal ll + 3%</t>
  </si>
  <si>
    <t>PAB-budget</t>
  </si>
  <si>
    <t>Totaal bijzondere bekostiging bij opheffing:</t>
  </si>
  <si>
    <t>Totaal bekostiging X1</t>
  </si>
  <si>
    <t>Totaal bekostiging X2</t>
  </si>
  <si>
    <t>Totaal bekostiging X3</t>
  </si>
  <si>
    <t>Faciliteit personele middelen</t>
  </si>
  <si>
    <t>derde lid, en artikel 134, negende lid, van de WPO, en</t>
  </si>
  <si>
    <t xml:space="preserve">b. de opheffing geen onderdeel uitmaakt van een samenvoeging als bedoeld in artikel 121, </t>
  </si>
  <si>
    <t>c. de school op het moment van opheffing ten minste 6 schooljaren wordt bekostigd, en</t>
  </si>
  <si>
    <t>a. de opheffing niet voortvloeit uit een besluit, als bedoeld in artikel 164b, eerste lid, van de WPO, en</t>
  </si>
  <si>
    <t xml:space="preserve">d. het aantal leerlingen van de hoofdvestiging van de opgeheven school, berekend overeenkomstig artikel </t>
  </si>
  <si>
    <t xml:space="preserve">152 van de WPO, op de laatste teldatum direct voorafgaande aan de opheffing niet minder bedraagt dan </t>
  </si>
  <si>
    <t xml:space="preserve">de voor de gemeente of het deel van de gemeente waarin de hoofdvestiging van die school is gelegen </t>
  </si>
  <si>
    <t>geldende opheffingsnorm bedoeld in artikel 154 van de WPO, en</t>
  </si>
  <si>
    <t>e. het bevoegd gezag van die school, of een ander bevoegd gezag waarmee het een samenwerkingsover-</t>
  </si>
  <si>
    <t>eenkomst bedoeld in artikel 157, derde lid, van de WPO is aangegaan, voor het schooljaar direct vooraf-</t>
  </si>
  <si>
    <t xml:space="preserve">gaande aan de opheffing dan wel voor het eerste schooljaar na de opheffing, voor één of meer van zijn </t>
  </si>
  <si>
    <t xml:space="preserve">scholen geen gebruik maakt van de in artikel 157 van de WPO opgenomen mogelijkheid tot afwijking </t>
  </si>
  <si>
    <t>van artikel 153 van de WPO, en</t>
  </si>
  <si>
    <t xml:space="preserve">f. het bevoegd gezag van de opgeheven school na deze opheffing bevoegd gezag blijft van ten minste </t>
  </si>
  <si>
    <t>één andere basisschool.</t>
  </si>
  <si>
    <t xml:space="preserve">De bijzondere bekostiging voor fusies verandert de komende jaren in omvang, met name in de periode vanaf 1 augustus 2020. </t>
  </si>
  <si>
    <t xml:space="preserve">De berekening van de bijzondere bekostiging hoeft maar eenmalig plaats te vinden en gebeurt volgens een eenvoudig principe. </t>
  </si>
  <si>
    <t>geen startende school</t>
  </si>
  <si>
    <t>Het uitgangspunt voor de toekenning van de faciliteiten is dat gekeken wordt naar het geld voor de personele bekostiging die:</t>
  </si>
  <si>
    <t>b. de gefuseerde school ontvangt op basis van het gesommeerde leerlingenaantal op de voorafgaande teldatum</t>
  </si>
  <si>
    <t xml:space="preserve">van de scholen die bij de fusie betrokken zijn. </t>
  </si>
  <si>
    <t xml:space="preserve">b. vermeerdering van de personele bekostiging t.b.v. basisscholen met een of meer (formeel erkende) nevenvestigingen: </t>
  </si>
  <si>
    <t xml:space="preserve">De materiële bekostiging wordt niet afzonderlijk berekend omdat die voor het gehele kalenderjaar wordt toegekend, ook </t>
  </si>
  <si>
    <t xml:space="preserve">van de gegevens van de scholen A en B, waarna de gefuseerde school ABC de bijzondere bekostiging in het schooljaar </t>
  </si>
  <si>
    <r>
      <t xml:space="preserve">De werkbladen zijn beveiligd onder 'Extra/Beveiliging/Blad beveiligen' met het wachtwoord: </t>
    </r>
    <r>
      <rPr>
        <b/>
        <sz val="11"/>
        <rFont val="Calibri"/>
        <family val="2"/>
        <scheme val="minor"/>
      </rPr>
      <t>poraad</t>
    </r>
  </si>
  <si>
    <t>geen sprake van onvoldoende kwaliteit</t>
  </si>
  <si>
    <t>geen school waarvoor fusiefaciliteiten worden ontvangen</t>
  </si>
  <si>
    <t>het betreft niet de laatste/ enige basisschool van het bestuur</t>
  </si>
  <si>
    <t>de school wordt niet instand gehouden middels de gemiddelde schoolgrootte</t>
  </si>
  <si>
    <t>school bevindt zich niet onder de opheffingsnorm</t>
  </si>
  <si>
    <t>2018/2019</t>
  </si>
  <si>
    <t>2019/2020</t>
  </si>
  <si>
    <t>2020/2021</t>
  </si>
  <si>
    <t>2021/2022</t>
  </si>
  <si>
    <r>
      <rPr>
        <b/>
        <sz val="10"/>
        <rFont val="Calibri"/>
        <family val="2"/>
        <scheme val="minor"/>
      </rPr>
      <t>Factor A</t>
    </r>
    <r>
      <rPr>
        <sz val="10"/>
        <rFont val="Calibri"/>
        <family val="2"/>
        <scheme val="minor"/>
      </rPr>
      <t>: Aantal leerlingen die</t>
    </r>
  </si>
  <si>
    <r>
      <rPr>
        <b/>
        <sz val="10"/>
        <rFont val="Calibri"/>
        <family val="2"/>
        <scheme val="minor"/>
      </rPr>
      <t>Factor B</t>
    </r>
    <r>
      <rPr>
        <sz val="10"/>
        <rFont val="Calibri"/>
        <family val="2"/>
        <scheme val="minor"/>
      </rPr>
      <t>: Aantal leerlingen die</t>
    </r>
  </si>
  <si>
    <t xml:space="preserve">laatste school bij school C ingevuld te worden mits de nevenvestiging ook na de fusie blijft voortbestaan. Ook dan geeft </t>
  </si>
  <si>
    <t xml:space="preserve">school ABC weer de gegevens die gelden voor de gefuseerde school met de bijzondere bekostiging voor het schooljaar </t>
  </si>
  <si>
    <t>na de fusie.</t>
  </si>
  <si>
    <t>reguliere ll</t>
  </si>
  <si>
    <t>gewichten ll</t>
  </si>
  <si>
    <t>f. aanvullende bekostiging voor de schoolleiding</t>
  </si>
  <si>
    <t xml:space="preserve">Daarnaast wordt bekeken wat de verschillen zijn in component f van de fusiescholen enerzijds en de gefuseerde school </t>
  </si>
  <si>
    <t>anderzijds. Ook dat verschil bepaalt mede de overgangsformatie.</t>
  </si>
  <si>
    <t xml:space="preserve">Omdat niet geheel duidelijk is hoe met de bekostiging van een nevenvestiging in dit kader moet worden omgegaan, hebben we de </t>
  </si>
  <si>
    <t xml:space="preserve">f niet of niet meer in dezelfde mate aan de orde is. </t>
  </si>
  <si>
    <t xml:space="preserve">als sprake is van fusie per 1 augustus in dat kalenderjaar. Die materiële bekostiging vanaf 1 augustus kan dus gezien </t>
  </si>
  <si>
    <t xml:space="preserve">worden als de materiële fusiefaciliteit. </t>
  </si>
  <si>
    <t xml:space="preserve">ingeschreven staan. Dat betreft dus niet de 8-ste klassers want die zijn ondertussen van school af, tenzij ze zijn blijven </t>
  </si>
  <si>
    <t xml:space="preserve">mogelijkheid met nevenvestiging bij de fusie vooralsnog buiten beschouwing gelaten. Zodra daar duidelijkheid over is, zullen we </t>
  </si>
  <si>
    <t xml:space="preserve">4- tot en met 11- jarigen, bij ten minste 6 leeftijdscohorten sprake is van één of meer leerlingen die een zodanige leeftijd </t>
  </si>
  <si>
    <t>ja</t>
  </si>
  <si>
    <t>Check echt nodig?</t>
  </si>
  <si>
    <t xml:space="preserve">De nieuwe fusieregeling is gebaseerd op de publicatie Stcrt. 2017 nr. 30458, d.d. 2 juni 2017, waarin de regeling is vastgelegd </t>
  </si>
  <si>
    <t>De bijzondere bekostiging is voor fusies in de tweede periode lager dan in de eerste periode.</t>
  </si>
  <si>
    <t xml:space="preserve">voor de periode 1 aug. 2017 tot en met 31 juli 2020 en vervolgens voor de periode 1 aug. 2020 tot en met 31 juli 2025. </t>
  </si>
  <si>
    <t xml:space="preserve">Ook wordt in de toekenning onderscheid gemaakt voor fusies wat de fusie-instroom betreft. Met de fusie-instroom wordt </t>
  </si>
  <si>
    <t xml:space="preserve">Door de linearisering in de bekostiging heeft een samenvoeging in principe geen gevolgen: de personele bekostiging voor </t>
  </si>
  <si>
    <t xml:space="preserve">150 leerlingen van school A plus 50 leerlingen van school B is door de lineaire toekenning gelijk aan de personele </t>
  </si>
  <si>
    <t>het instrument op dit punt aanpassen.</t>
  </si>
  <si>
    <t xml:space="preserve">c. de kleinescholentoeslag: voor scholen met minder dan 145 leerlingen, </t>
  </si>
  <si>
    <t xml:space="preserve">e. impulsgebiedstoeslag: de toeslag die wordt vastgesteld voor een vestiging als die in een Impulsgebied ligt, en/of </t>
  </si>
  <si>
    <t xml:space="preserve"> 'gewichtsleerlingen', ook wel bekend als schoolgewicht, </t>
  </si>
  <si>
    <t xml:space="preserve">teldatum 1 oktober waarop bij deze school sprake was van een complete leerlingpopulatie. Indien bij de kleine of zeer </t>
  </si>
  <si>
    <t xml:space="preserve">kleine basisschool op alle teldata 1 oktober in de vier schooljaren voorafgaande aan de fusie geen sprake is van een </t>
  </si>
  <si>
    <t>complete leerlingpopulatie, wordt het aantal ingeschreven bekostigde leerlingen genomen op de teldatum 1 oktober T-4.</t>
  </si>
  <si>
    <r>
      <rPr>
        <b/>
        <sz val="11"/>
        <rFont val="Calibri"/>
        <family val="2"/>
        <scheme val="minor"/>
      </rPr>
      <t>Q</t>
    </r>
    <r>
      <rPr>
        <sz val="11"/>
        <rFont val="Calibri"/>
        <family val="2"/>
        <scheme val="minor"/>
      </rPr>
      <t xml:space="preserve"> is het aantal ingeschreven bekostigde leerlingen op de desbetreffende kleine of zeer kleine basisschool op de laatste </t>
    </r>
  </si>
  <si>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 xml:space="preserve"> is het aantal ingeschreven bekostigde leerlingen op de desbetreffende school op 1 oktober direct voorafgaande aan de fusie.</t>
    </r>
  </si>
  <si>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 is het bedrag dat staat voor de kleine scholentoeslag per leerling van de betreffende school</t>
    </r>
  </si>
  <si>
    <t>Beperkte fusie-instroom</t>
  </si>
  <si>
    <t>met gewichtscategorie 0,30</t>
  </si>
  <si>
    <t>met gewichtscategorie 1,20</t>
  </si>
  <si>
    <t>Schoolgewicht</t>
  </si>
  <si>
    <t>6e schooljaar na fusie</t>
  </si>
  <si>
    <t>Factor X + Xs</t>
  </si>
  <si>
    <t>Factor Y +Ys</t>
  </si>
  <si>
    <t>COMPLETE LEERLINGPOPULATIE</t>
  </si>
  <si>
    <t>Totaal bekostiging Y</t>
  </si>
  <si>
    <t>Deze factoren Q, R en S worden berekend in het werkblad 'complete leerlingenpopulatie'.</t>
  </si>
  <si>
    <t>School met wie gefuseerd wordt</t>
  </si>
  <si>
    <t>School/scholen die na fusie wordt/worden opgeheven</t>
  </si>
  <si>
    <t>Gefuseerde school</t>
  </si>
  <si>
    <t>Formatiebudget in geld</t>
  </si>
  <si>
    <t>Alleen de witte cellen kunnen worden ingevuld. Bij werkblad 'tab' zijn het de gele velden.</t>
  </si>
  <si>
    <t>Formatiebudget in geld nevenvestiging</t>
  </si>
  <si>
    <t>Formatiebudget in geld Totaal</t>
  </si>
  <si>
    <t xml:space="preserve">gedoeld op het deel van de leerlingen dat van de te op te heffen school/scholen overgaat naar de fusieschool. Is deze 50% </t>
  </si>
  <si>
    <t xml:space="preserve">of meer dan is sprake van substantiële fusie-instroom, een fusie-instroom tussen de 25% en 50% betreft een beperkte </t>
  </si>
  <si>
    <t>fusie-instroom en dan is de bijzondere bekostiging in de jaren na de fusie geringer.</t>
  </si>
  <si>
    <t xml:space="preserve">zitten. Leerlingen die naar een andere basisschool, naar een SBO of een SO-school zijn gegaan, tellen dus ook niet </t>
  </si>
  <si>
    <t>voor de basisschool.</t>
  </si>
  <si>
    <t xml:space="preserve">school plaats. Onder complete leerlingenpopulatie van een school wordt verstaan dat er op 1 okt. T-1 sprake is van een </t>
  </si>
  <si>
    <t xml:space="preserve">zodanige evenwichtige leeftijdsopbouw van de leerlingen dat, van de 8 leeftijdscohorten 4- tot en met 11- jarigen, bij </t>
  </si>
  <si>
    <t xml:space="preserve">tenminste 6 leeftijdscohorten sprake is van één of meer leerlingen die een zodanige leeftijd hebben dat ze binnen dat </t>
  </si>
  <si>
    <t>leeftijdscohort vallen, waarbij leerlingen die op de desbetreffende datum ouder zijn dan 11 jaar als 11-jarigen meetellen.</t>
  </si>
  <si>
    <t xml:space="preserve">Er is nu ook sprake van de toekenning van bijzondere bekostiging wanneer een school wordt opgeheven. Dat wordt </t>
  </si>
  <si>
    <t>berekend in het werkblad 'faciliteiten bij opheffing'.</t>
  </si>
  <si>
    <t xml:space="preserve">bekostiging van 200 leerlingen van school AB. Verschil kan zich slechts voordoen als een bij de samenvoeging betrokken </t>
  </si>
  <si>
    <t>school te maken heeft met één of meer van de volgende personele bekostigingscomponenten:</t>
  </si>
  <si>
    <t>samenstelling van het totale leerlingenbestand hebben die er voor zorgt dat de eerdere toekenning onder a, b, c, d, e en/of</t>
  </si>
  <si>
    <t xml:space="preserve">De componenten van de formatie zoals hiervoor onder a, b, c, d, en e aangegeven worden berekend voor de afzonderlijke </t>
  </si>
  <si>
    <t>A</t>
  </si>
  <si>
    <t>B</t>
  </si>
  <si>
    <t>C</t>
  </si>
  <si>
    <t>ABC</t>
  </si>
  <si>
    <t>Speciaal basisonderwijs</t>
  </si>
  <si>
    <t>Bedrag per leerling</t>
  </si>
  <si>
    <t>basisbekostiging vast</t>
  </si>
  <si>
    <t>basisbekostiging per ll</t>
  </si>
  <si>
    <t>OP voet</t>
  </si>
  <si>
    <t>OP lftafh.</t>
  </si>
  <si>
    <t>ll</t>
  </si>
  <si>
    <t>Basisbekostiging</t>
  </si>
  <si>
    <t>Totaal bekostiging</t>
  </si>
  <si>
    <t>SBO die wordt opgeheven door fusie met basisschool</t>
  </si>
  <si>
    <t>2022/2023</t>
  </si>
  <si>
    <t>Aantal leerlingen SBO op eerste schooldag na fusie op basisschool</t>
  </si>
  <si>
    <t xml:space="preserve">Met dit instrument wordt de bijzondere bekostiging berekend die een basisschool ontvangt die fuseert met één of twee </t>
  </si>
  <si>
    <t xml:space="preserve">basisscholen. Daarnaast wordt in een afzonderlijk werkblad de bijzondere basisbekostiging berekend die wordt toegekend </t>
  </si>
  <si>
    <t>Benodigd aantal voor bijzondere bekostiging (tenminste de helft)</t>
  </si>
  <si>
    <t>Basisschool</t>
  </si>
  <si>
    <t>Fusie van basisscholen is complexer en vergt meer uitleg.</t>
  </si>
  <si>
    <t>na de fusie weergeeft, die vervolgens ook geldt voor de periode daarna, tenzij er sprake is van beperkte fusie-instroom.</t>
  </si>
  <si>
    <t xml:space="preserve">Wanneer er drie scholen gaan fuseren geeft school ABC het resultaat weer van de fusie met de daarbij behorende </t>
  </si>
  <si>
    <t>bijzondere bekostiging.</t>
  </si>
  <si>
    <t xml:space="preserve">Gekozen is voor de mogelijkheid van fusies tussen maximaal drie basisscholen waaruit één school resteert. De gegevens van </t>
  </si>
  <si>
    <t xml:space="preserve">de basisschool waarmee gefuseerd wordt (dat BRINnummer blijft dus bestaan), moeten worden ingevuld onder A in het </t>
  </si>
  <si>
    <t xml:space="preserve">blad 'Faciliteiten bij fusie'. De mogelijkheid bij elke school is aanwezig dat er ook sprake is van een nevenvestiging. In zo'n </t>
  </si>
  <si>
    <t>geval moeten ook de leerlinggegevens van die nevenvestiging worden ingevuld.</t>
  </si>
  <si>
    <t>Gewogen gemiddelde leeftijd leraren</t>
  </si>
  <si>
    <t>OP  leeftijdsgecorrigeerd: bedrag per leeftijdsjaar GGL</t>
  </si>
  <si>
    <t>Gefuseerde school (ABC)</t>
  </si>
  <si>
    <t>totaal over 6 jaren (excl. effect indexering)</t>
  </si>
  <si>
    <t>totaal over 5 jaren (excl. effect indexering)</t>
  </si>
  <si>
    <t>naam school</t>
  </si>
  <si>
    <t>Totaal incl. eventuele nevenvestiging</t>
  </si>
  <si>
    <t>Substantiële of beperkte fusie-instroom</t>
  </si>
  <si>
    <t>De fusie-instroom bij deze fusie is</t>
  </si>
  <si>
    <t>Vóór correctie (zie werkblad complete leerlingpopulatie)</t>
  </si>
  <si>
    <t>Na correctie (zie werkblad complete leerlingpopulatie)</t>
  </si>
  <si>
    <t>hebben dat ze binnen dat leeftijdscohort vallen. Leerlingen die op de desbetreffende datum ouder zijn dan 11 jaar meetellen</t>
  </si>
  <si>
    <t>Totaal  6 jaar (exc. effect indexering)</t>
  </si>
  <si>
    <t>Bijzondere bekostiging?</t>
  </si>
  <si>
    <t>BIJZONDERE BEKOSTIGING VOOR SBO DIE OPGAAT IN BASISCHOOL</t>
  </si>
  <si>
    <t xml:space="preserve">BIJZONDERE BEKOSTIGING BIJ OPHEFFING SCHOOL </t>
  </si>
  <si>
    <t>De SBO school</t>
  </si>
  <si>
    <t>Naam gefuseerde school</t>
  </si>
  <si>
    <t xml:space="preserve">Bij deze fusie-instroom is er sprake van een </t>
  </si>
  <si>
    <t>Totale fusiefaciliteit (over meerdere jaren) hierbij is</t>
  </si>
  <si>
    <t>De faciliteit wordt toegekend bij vrijwillige opheffing. Onder een vrijwillige opheffing wordt verstaan, een</t>
  </si>
  <si>
    <t>opheffing van een basisschool waarvoor geldt dat:</t>
  </si>
  <si>
    <t xml:space="preserve">de verhoging met 3/4 van het verschil tussen de aanvullende personele bekostiging voor kleine scholen van de afzonderlijke </t>
  </si>
  <si>
    <t xml:space="preserve">vestigingen als waren het zelfstandige scholen en de aanvullende personele bekostiging voor kleine scholen van de instelling </t>
  </si>
  <si>
    <t>als ware het één vestiging,</t>
  </si>
  <si>
    <t>Aanpassing versie 18 oktober:</t>
  </si>
  <si>
    <t xml:space="preserve">wanneer een SBO fuseert met een basisschool en zich daarmee tegelijkertijd opheft (art. 10 en volgende). Voorwaarde daarbij </t>
  </si>
  <si>
    <t xml:space="preserve">is dat op de eerste schooldag na de fusie tenminste de helft van de leerlingen van de SBO zoals geteld op 1 oktober voorafgaand </t>
  </si>
  <si>
    <t xml:space="preserve">aan de fusie, op die fusieschool zijn ingeschreven volgens BRON. Dat is een simpele berekening die in werkblad Bas met SBO </t>
  </si>
  <si>
    <t>is opgenomen. Het betreft de berekening van de basisbekostiging per leerling plus de directietoeslag.</t>
  </si>
  <si>
    <t xml:space="preserve">Als er geen sprake is van een complete leerlingenpopulatie op een op te heffen school vindt een aftrek bij die betreffende </t>
  </si>
  <si>
    <t xml:space="preserve">Indien de aftrek meer bedraagt dan de bekostiging van de desbetreffende kleine of zeer kleine basisschool berekend op grond </t>
  </si>
  <si>
    <t xml:space="preserve">van artikel 24 resp. artikel 23 en 24 van het Besluit bekostiging WPO in het eerste jaar na de fusie, wordt de aftrek bepaald </t>
  </si>
  <si>
    <t xml:space="preserve">op het bedrag van die bekostiging. </t>
  </si>
  <si>
    <t>Vervolgens wordt de correctie op de factor X doorgevoerd op basis van het werkblad 'complete leerlingpopulatie'.</t>
  </si>
  <si>
    <t>De korting bedraagt de uitkomst van de formule (Q-R) x S. Indien de uitkomst kleiner is dan 0, wordt het op 0 gesteld.</t>
  </si>
  <si>
    <t>BIJZONDERE BEKOSTIGING BIJ FUSIE PER 1 AUGUSTUS 2019</t>
  </si>
  <si>
    <t>C = KST geld/ vast</t>
  </si>
  <si>
    <t>C = KST geld/ leerling</t>
  </si>
  <si>
    <t>per 1 augustus 2019</t>
  </si>
  <si>
    <t>Op te heffen school per 1 augustus 2019</t>
  </si>
  <si>
    <r>
      <t xml:space="preserve">- en per </t>
    </r>
    <r>
      <rPr>
        <b/>
        <i/>
        <sz val="10"/>
        <rFont val="Calibri"/>
        <family val="2"/>
        <scheme val="minor"/>
      </rPr>
      <t>1 oktober 2018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</si>
  <si>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2019</t>
    </r>
    <r>
      <rPr>
        <i/>
        <sz val="10"/>
        <rFont val="Calibri"/>
        <family val="2"/>
        <scheme val="minor"/>
      </rPr>
      <t xml:space="preserve"> ingeschreven staan op de </t>
    </r>
    <r>
      <rPr>
        <i/>
        <u/>
        <sz val="10"/>
        <rFont val="Calibri"/>
        <family val="2"/>
        <scheme val="minor"/>
      </rPr>
      <t>gefuseerde school</t>
    </r>
  </si>
  <si>
    <r>
      <t xml:space="preserve">- en op </t>
    </r>
    <r>
      <rPr>
        <b/>
        <i/>
        <sz val="10"/>
        <rFont val="Calibri"/>
        <family val="2"/>
        <scheme val="minor"/>
      </rPr>
      <t>1 oktober 2018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</si>
  <si>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op </t>
    </r>
    <r>
      <rPr>
        <b/>
        <i/>
        <sz val="10"/>
        <rFont val="Calibri"/>
        <family val="2"/>
        <scheme val="minor"/>
      </rPr>
      <t>1 oktober 2019</t>
    </r>
    <r>
      <rPr>
        <i/>
        <sz val="10"/>
        <rFont val="Calibri"/>
        <family val="2"/>
        <scheme val="minor"/>
      </rPr>
      <t xml:space="preserve"> ingeschreven staan op een </t>
    </r>
    <r>
      <rPr>
        <i/>
        <u/>
        <sz val="10"/>
        <rFont val="Calibri"/>
        <family val="2"/>
        <scheme val="minor"/>
      </rPr>
      <t>basisschool</t>
    </r>
    <r>
      <rPr>
        <i/>
        <sz val="10"/>
        <rFont val="Calibri"/>
        <family val="2"/>
        <scheme val="minor"/>
      </rPr>
      <t xml:space="preserve"> (in Nederland)</t>
    </r>
  </si>
  <si>
    <t>In 2019 te ontvangen materiële bekostiging</t>
  </si>
  <si>
    <t>Minus: In 2019 ontvangen materiële bekostiging (zie beschikkingen)</t>
  </si>
  <si>
    <t>2023/2024</t>
  </si>
  <si>
    <t>versie sept2018</t>
  </si>
  <si>
    <t xml:space="preserve">Bij de fusie-instroom tellen de leerlingen mee die overgaan naar de fusieschool en op 1 okt. 2019 op de fusieschool </t>
  </si>
  <si>
    <r>
      <t xml:space="preserve">De bedragen zijn ontleend aan de publicatie Tweede Regeling bekostiging personeel PO </t>
    </r>
    <r>
      <rPr>
        <b/>
        <sz val="11"/>
        <color rgb="FFC00000"/>
        <rFont val="Calibri"/>
        <family val="2"/>
        <scheme val="minor"/>
      </rPr>
      <t>2018-2019</t>
    </r>
    <r>
      <rPr>
        <sz val="11"/>
        <rFont val="Calibri"/>
        <family val="2"/>
        <scheme val="minor"/>
      </rPr>
      <t xml:space="preserve"> van </t>
    </r>
    <r>
      <rPr>
        <b/>
        <sz val="11"/>
        <color rgb="FFC00000"/>
        <rFont val="Calibri"/>
        <family val="2"/>
        <scheme val="minor"/>
      </rPr>
      <t>sept. 2018</t>
    </r>
    <r>
      <rPr>
        <b/>
        <sz val="11"/>
        <rFont val="Calibri"/>
        <family val="2"/>
        <scheme val="minor"/>
      </rPr>
      <t>.</t>
    </r>
  </si>
  <si>
    <r>
      <t xml:space="preserve">De wijze van berekening is gebaseerd op fusies per </t>
    </r>
    <r>
      <rPr>
        <b/>
        <sz val="11"/>
        <rFont val="Calibri"/>
        <family val="2"/>
        <scheme val="minor"/>
      </rPr>
      <t>1 augustus 2019.</t>
    </r>
    <r>
      <rPr>
        <sz val="11"/>
        <rFont val="Calibri"/>
        <family val="2"/>
        <scheme val="minor"/>
      </rPr>
      <t xml:space="preserve"> Na 31 juli 2020 geldt de regeling in aangepaste vorm.</t>
    </r>
  </si>
  <si>
    <t>PO-Raad: Helpdesk</t>
  </si>
  <si>
    <t>In april 2019 gaat de nieuwe (voorlopige) GPL gelden voor 2019-2020.</t>
  </si>
  <si>
    <r>
      <t xml:space="preserve">Voorwaarde: op 1 oktober </t>
    </r>
    <r>
      <rPr>
        <b/>
        <sz val="10"/>
        <rFont val="Calibri"/>
        <family val="2"/>
        <scheme val="minor"/>
      </rPr>
      <t xml:space="preserve">2018 </t>
    </r>
    <r>
      <rPr>
        <sz val="10"/>
        <rFont val="Calibri"/>
        <family val="2"/>
        <scheme val="minor"/>
      </rPr>
      <t xml:space="preserve">een zodanige evenwichtige leeftijdsopbouw van de leerlingen dat, van de 8 leeftijdscohorten </t>
    </r>
  </si>
  <si>
    <r>
      <t xml:space="preserve">Nagaan complete leerlingenpopulatie bij (zeer) kleine basisschool (op 1 oktober </t>
    </r>
    <r>
      <rPr>
        <b/>
        <sz val="10"/>
        <rFont val="Calibri"/>
        <family val="2"/>
        <scheme val="minor"/>
      </rPr>
      <t>2018</t>
    </r>
    <r>
      <rPr>
        <sz val="10"/>
        <rFont val="Calibri"/>
        <family val="2"/>
        <scheme val="minor"/>
      </rPr>
      <t xml:space="preserve"> minder dan 145 leerlingen)</t>
    </r>
  </si>
  <si>
    <t>als 11-jarigen. Anders geldt een aftrekregeling.</t>
  </si>
  <si>
    <t>Aftrekregeling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</si>
</sst>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0.0000"/>
    <numFmt numFmtId="166" formatCode="_(&quot;€&quot;\ * #,##0.00_);_(&quot;€&quot;\ * \(#,##0.00\);_(&quot;€&quot;\ * &quot;-&quot;??_);_(@_)"/>
    <numFmt numFmtId="167" formatCode="_-&quot;€&quot;\ * #,##0_-;_-&quot;€&quot;\ * #,##0\-;_-&quot;€&quot;\ * &quot;-&quot;_-;_-@_-"/>
    <numFmt numFmtId="168" formatCode="_-&quot;€&quot;\ * #,##0_-;_-&quot;€&quot;\ * #,##0\-;_-&quot;€&quot;\ * &quot;-&quot;??_-;_-@_-"/>
    <numFmt numFmtId="169" formatCode="_ &quot;€&quot;\ * #,##0_ ;_ &quot;€&quot;\ * \-#,##0_ ;_ &quot;€&quot;\ * &quot;-&quot;??_ ;_ @_ "/>
    <numFmt numFmtId="170" formatCode="#,##0_ ;\-#,##0\ "/>
    <numFmt numFmtId="171" formatCode="_-&quot;€&quot;\ * #,##0.000000_-;_-&quot;€&quot;\ * #,##0.000000\-;_-&quot;€&quot;\ * &quot;-&quot;??_-;_-@_-"/>
    <numFmt numFmtId="172" formatCode="[$-413]d\ mmmm\ yyyy;@"/>
  </numFmts>
  <fonts count="7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b/>
      <sz val="11"/>
      <color indexed="9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0"/>
      <color rgb="FFC00000"/>
      <name val="Calibri"/>
      <family val="2"/>
    </font>
    <font>
      <sz val="10"/>
      <color rgb="FF0070C0"/>
      <name val="Calibri"/>
      <family val="2"/>
    </font>
    <font>
      <b/>
      <sz val="10"/>
      <color rgb="FFC00000"/>
      <name val="Arial"/>
      <family val="2"/>
    </font>
    <font>
      <i/>
      <sz val="10"/>
      <color rgb="FF0070C0"/>
      <name val="Calibri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499984740745262"/>
      <name val="Calibri"/>
      <family val="2"/>
    </font>
    <font>
      <b/>
      <sz val="11"/>
      <color rgb="FFC0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color indexed="4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0" tint="-4.9989318521683403E-2"/>
      <name val="Calibri"/>
      <family val="2"/>
    </font>
    <font>
      <i/>
      <sz val="12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i/>
      <sz val="10"/>
      <color theme="0" tint="-4.9989318521683403E-2"/>
      <name val="Calibri"/>
      <family val="2"/>
    </font>
    <font>
      <i/>
      <sz val="10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i/>
      <sz val="10"/>
      <color theme="0" tint="-4.9989318521683403E-2"/>
      <name val="Calibri"/>
      <family val="2"/>
    </font>
    <font>
      <sz val="10"/>
      <color rgb="FFFF0000"/>
      <name val="Calibri"/>
      <family val="2"/>
    </font>
    <font>
      <b/>
      <sz val="10"/>
      <color theme="1" tint="0.34998626667073579"/>
      <name val="Arial"/>
      <family val="2"/>
    </font>
    <font>
      <b/>
      <sz val="14"/>
      <color theme="1" tint="0.34998626667073579"/>
      <name val="Calibri"/>
      <family val="2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0">
    <xf numFmtId="0" fontId="0" fillId="0" borderId="0" xfId="0"/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5" fillId="0" borderId="0" xfId="0" quotePrefix="1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6" fillId="2" borderId="1" xfId="0" applyFont="1" applyFill="1" applyBorder="1" applyProtection="1"/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6" fillId="2" borderId="5" xfId="0" applyFont="1" applyFill="1" applyBorder="1" applyProtection="1"/>
    <xf numFmtId="0" fontId="9" fillId="2" borderId="0" xfId="0" applyFont="1" applyFill="1" applyBorder="1" applyProtection="1"/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10" fillId="2" borderId="7" xfId="1" applyFont="1" applyFill="1" applyBorder="1" applyAlignment="1" applyProtection="1">
      <alignment horizontal="righ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6" fillId="3" borderId="0" xfId="0" applyFont="1" applyFill="1" applyBorder="1" applyProtection="1"/>
    <xf numFmtId="0" fontId="11" fillId="3" borderId="0" xfId="0" applyFont="1" applyFill="1" applyProtection="1"/>
    <xf numFmtId="0" fontId="12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5" fillId="3" borderId="0" xfId="0" applyFont="1" applyFill="1" applyBorder="1" applyProtection="1"/>
    <xf numFmtId="0" fontId="8" fillId="3" borderId="0" xfId="0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0" fontId="13" fillId="2" borderId="0" xfId="0" applyFont="1" applyFill="1" applyBorder="1" applyProtection="1"/>
    <xf numFmtId="0" fontId="15" fillId="2" borderId="0" xfId="0" applyFont="1" applyFill="1" applyBorder="1" applyProtection="1"/>
    <xf numFmtId="0" fontId="14" fillId="2" borderId="0" xfId="0" applyFont="1" applyFill="1" applyBorder="1" applyProtection="1"/>
    <xf numFmtId="0" fontId="5" fillId="2" borderId="0" xfId="0" applyFont="1" applyFill="1" applyBorder="1" applyProtection="1"/>
    <xf numFmtId="0" fontId="5" fillId="2" borderId="4" xfId="0" applyFont="1" applyFill="1" applyBorder="1" applyProtection="1"/>
    <xf numFmtId="0" fontId="5" fillId="2" borderId="5" xfId="0" applyFont="1" applyFill="1" applyBorder="1" applyProtection="1"/>
    <xf numFmtId="0" fontId="6" fillId="3" borderId="9" xfId="0" applyFont="1" applyFill="1" applyBorder="1" applyProtection="1"/>
    <xf numFmtId="0" fontId="6" fillId="3" borderId="10" xfId="0" applyFont="1" applyFill="1" applyBorder="1" applyProtection="1"/>
    <xf numFmtId="0" fontId="6" fillId="3" borderId="11" xfId="0" applyFont="1" applyFill="1" applyBorder="1" applyProtection="1"/>
    <xf numFmtId="0" fontId="6" fillId="3" borderId="13" xfId="0" applyFont="1" applyFill="1" applyBorder="1" applyProtection="1"/>
    <xf numFmtId="0" fontId="6" fillId="3" borderId="12" xfId="0" applyFont="1" applyFill="1" applyBorder="1" applyProtection="1"/>
    <xf numFmtId="0" fontId="6" fillId="3" borderId="14" xfId="0" applyFont="1" applyFill="1" applyBorder="1" applyProtection="1"/>
    <xf numFmtId="164" fontId="6" fillId="3" borderId="13" xfId="0" applyNumberFormat="1" applyFont="1" applyFill="1" applyBorder="1" applyAlignment="1" applyProtection="1">
      <alignment horizontal="center"/>
    </xf>
    <xf numFmtId="0" fontId="8" fillId="3" borderId="12" xfId="0" applyFont="1" applyFill="1" applyBorder="1" applyProtection="1"/>
    <xf numFmtId="0" fontId="8" fillId="3" borderId="13" xfId="0" applyFont="1" applyFill="1" applyBorder="1" applyProtection="1"/>
    <xf numFmtId="0" fontId="8" fillId="3" borderId="14" xfId="0" applyFont="1" applyFill="1" applyBorder="1" applyProtection="1"/>
    <xf numFmtId="0" fontId="5" fillId="3" borderId="13" xfId="0" applyFont="1" applyFill="1" applyBorder="1" applyProtection="1"/>
    <xf numFmtId="0" fontId="8" fillId="3" borderId="13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5" fillId="3" borderId="12" xfId="0" applyFont="1" applyFill="1" applyBorder="1" applyProtection="1"/>
    <xf numFmtId="0" fontId="6" fillId="3" borderId="15" xfId="0" applyFont="1" applyFill="1" applyBorder="1" applyProtection="1"/>
    <xf numFmtId="0" fontId="6" fillId="3" borderId="16" xfId="0" applyFont="1" applyFill="1" applyBorder="1" applyProtection="1"/>
    <xf numFmtId="0" fontId="5" fillId="3" borderId="14" xfId="0" applyFont="1" applyFill="1" applyBorder="1" applyProtection="1"/>
    <xf numFmtId="0" fontId="6" fillId="3" borderId="17" xfId="0" applyFont="1" applyFill="1" applyBorder="1" applyProtection="1"/>
    <xf numFmtId="164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10" fontId="6" fillId="0" borderId="0" xfId="0" applyNumberFormat="1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9" fillId="2" borderId="4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164" fontId="5" fillId="2" borderId="0" xfId="0" applyNumberFormat="1" applyFont="1" applyFill="1" applyBorder="1" applyAlignment="1" applyProtection="1">
      <alignment horizontal="center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Protection="1"/>
    <xf numFmtId="0" fontId="6" fillId="3" borderId="10" xfId="0" applyFont="1" applyFill="1" applyBorder="1" applyAlignment="1" applyProtection="1">
      <alignment horizontal="center"/>
    </xf>
    <xf numFmtId="164" fontId="6" fillId="3" borderId="10" xfId="0" applyNumberFormat="1" applyFont="1" applyFill="1" applyBorder="1" applyAlignment="1" applyProtection="1">
      <alignment horizontal="center"/>
    </xf>
    <xf numFmtId="164" fontId="6" fillId="3" borderId="16" xfId="0" applyNumberFormat="1" applyFont="1" applyFill="1" applyBorder="1" applyAlignment="1" applyProtection="1">
      <alignment horizontal="center"/>
    </xf>
    <xf numFmtId="164" fontId="5" fillId="3" borderId="16" xfId="0" applyNumberFormat="1" applyFont="1" applyFill="1" applyBorder="1" applyAlignment="1" applyProtection="1">
      <alignment horizontal="center"/>
    </xf>
    <xf numFmtId="0" fontId="6" fillId="3" borderId="16" xfId="0" applyFont="1" applyFill="1" applyBorder="1" applyAlignment="1" applyProtection="1">
      <alignment horizontal="center"/>
    </xf>
    <xf numFmtId="0" fontId="16" fillId="2" borderId="4" xfId="0" applyFont="1" applyFill="1" applyBorder="1" applyProtection="1"/>
    <xf numFmtId="0" fontId="16" fillId="3" borderId="12" xfId="0" applyFont="1" applyFill="1" applyBorder="1" applyProtection="1"/>
    <xf numFmtId="0" fontId="16" fillId="3" borderId="14" xfId="0" applyFont="1" applyFill="1" applyBorder="1" applyProtection="1"/>
    <xf numFmtId="0" fontId="16" fillId="2" borderId="5" xfId="0" applyFont="1" applyFill="1" applyBorder="1" applyProtection="1"/>
    <xf numFmtId="0" fontId="18" fillId="3" borderId="0" xfId="0" applyFont="1" applyFill="1" applyProtection="1"/>
    <xf numFmtId="0" fontId="19" fillId="2" borderId="4" xfId="0" applyFont="1" applyFill="1" applyBorder="1" applyProtection="1"/>
    <xf numFmtId="0" fontId="19" fillId="3" borderId="12" xfId="0" applyFont="1" applyFill="1" applyBorder="1" applyProtection="1"/>
    <xf numFmtId="0" fontId="19" fillId="3" borderId="13" xfId="0" applyFont="1" applyFill="1" applyBorder="1" applyProtection="1"/>
    <xf numFmtId="0" fontId="19" fillId="3" borderId="14" xfId="0" applyFont="1" applyFill="1" applyBorder="1" applyProtection="1"/>
    <xf numFmtId="0" fontId="19" fillId="2" borderId="5" xfId="0" applyFont="1" applyFill="1" applyBorder="1" applyProtection="1"/>
    <xf numFmtId="0" fontId="20" fillId="3" borderId="0" xfId="0" applyFont="1" applyFill="1" applyProtection="1"/>
    <xf numFmtId="0" fontId="17" fillId="2" borderId="4" xfId="0" applyFont="1" applyFill="1" applyBorder="1" applyProtection="1"/>
    <xf numFmtId="0" fontId="17" fillId="3" borderId="12" xfId="0" applyFont="1" applyFill="1" applyBorder="1" applyProtection="1"/>
    <xf numFmtId="0" fontId="17" fillId="3" borderId="14" xfId="0" applyFont="1" applyFill="1" applyBorder="1" applyProtection="1"/>
    <xf numFmtId="0" fontId="17" fillId="2" borderId="5" xfId="0" applyFont="1" applyFill="1" applyBorder="1" applyProtection="1"/>
    <xf numFmtId="0" fontId="21" fillId="3" borderId="0" xfId="0" applyFont="1" applyFill="1" applyProtection="1"/>
    <xf numFmtId="0" fontId="4" fillId="2" borderId="13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44" fontId="5" fillId="2" borderId="0" xfId="0" applyNumberFormat="1" applyFont="1" applyFill="1" applyBorder="1" applyProtection="1"/>
    <xf numFmtId="0" fontId="22" fillId="2" borderId="0" xfId="0" applyFont="1" applyFill="1" applyBorder="1" applyProtection="1"/>
    <xf numFmtId="0" fontId="4" fillId="3" borderId="13" xfId="0" applyFont="1" applyFill="1" applyBorder="1" applyProtection="1"/>
    <xf numFmtId="0" fontId="25" fillId="3" borderId="13" xfId="0" applyFont="1" applyFill="1" applyBorder="1" applyProtection="1"/>
    <xf numFmtId="0" fontId="24" fillId="3" borderId="13" xfId="0" applyFont="1" applyFill="1" applyBorder="1" applyProtection="1"/>
    <xf numFmtId="164" fontId="6" fillId="5" borderId="13" xfId="0" applyNumberFormat="1" applyFont="1" applyFill="1" applyBorder="1" applyAlignment="1" applyProtection="1">
      <alignment horizontal="center"/>
    </xf>
    <xf numFmtId="0" fontId="25" fillId="3" borderId="13" xfId="0" applyFont="1" applyFill="1" applyBorder="1" applyAlignment="1" applyProtection="1">
      <alignment horizontal="center"/>
    </xf>
    <xf numFmtId="164" fontId="25" fillId="3" borderId="0" xfId="0" applyNumberFormat="1" applyFont="1" applyFill="1" applyBorder="1" applyAlignment="1" applyProtection="1">
      <alignment horizontal="center"/>
    </xf>
    <xf numFmtId="164" fontId="24" fillId="3" borderId="0" xfId="0" applyNumberFormat="1" applyFont="1" applyFill="1" applyBorder="1" applyAlignment="1" applyProtection="1">
      <alignment horizontal="center"/>
    </xf>
    <xf numFmtId="164" fontId="25" fillId="3" borderId="13" xfId="0" applyNumberFormat="1" applyFont="1" applyFill="1" applyBorder="1" applyAlignment="1" applyProtection="1">
      <alignment horizontal="center"/>
    </xf>
    <xf numFmtId="0" fontId="26" fillId="3" borderId="13" xfId="0" applyFont="1" applyFill="1" applyBorder="1" applyProtection="1"/>
    <xf numFmtId="164" fontId="27" fillId="4" borderId="13" xfId="0" applyNumberFormat="1" applyFont="1" applyFill="1" applyBorder="1" applyAlignment="1" applyProtection="1">
      <alignment horizontal="center"/>
    </xf>
    <xf numFmtId="164" fontId="5" fillId="4" borderId="13" xfId="0" applyNumberFormat="1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left"/>
    </xf>
    <xf numFmtId="0" fontId="28" fillId="2" borderId="0" xfId="0" applyFont="1" applyFill="1" applyBorder="1"/>
    <xf numFmtId="0" fontId="28" fillId="3" borderId="0" xfId="0" applyFont="1" applyFill="1" applyBorder="1"/>
    <xf numFmtId="0" fontId="29" fillId="2" borderId="0" xfId="0" applyFont="1" applyFill="1" applyBorder="1"/>
    <xf numFmtId="0" fontId="30" fillId="2" borderId="0" xfId="0" applyFont="1" applyFill="1" applyBorder="1"/>
    <xf numFmtId="0" fontId="30" fillId="3" borderId="0" xfId="0" applyFont="1" applyFill="1" applyBorder="1"/>
    <xf numFmtId="0" fontId="31" fillId="2" borderId="0" xfId="1" applyFont="1" applyFill="1" applyBorder="1" applyAlignment="1" applyProtection="1"/>
    <xf numFmtId="16" fontId="30" fillId="3" borderId="0" xfId="0" applyNumberFormat="1" applyFont="1" applyFill="1" applyBorder="1"/>
    <xf numFmtId="0" fontId="34" fillId="0" borderId="0" xfId="0" applyFont="1" applyFill="1" applyBorder="1" applyAlignment="1" applyProtection="1">
      <alignment horizontal="left" indent="1"/>
    </xf>
    <xf numFmtId="0" fontId="35" fillId="0" borderId="0" xfId="0" applyFont="1" applyFill="1" applyBorder="1" applyAlignment="1" applyProtection="1">
      <alignment horizontal="center"/>
    </xf>
    <xf numFmtId="44" fontId="35" fillId="0" borderId="0" xfId="2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 indent="1"/>
    </xf>
    <xf numFmtId="164" fontId="26" fillId="0" borderId="0" xfId="0" applyNumberFormat="1" applyFont="1" applyFill="1" applyBorder="1" applyAlignment="1" applyProtection="1">
      <alignment horizontal="left" indent="1"/>
    </xf>
    <xf numFmtId="10" fontId="35" fillId="0" borderId="0" xfId="2" applyNumberFormat="1" applyFont="1" applyFill="1" applyBorder="1" applyAlignment="1" applyProtection="1">
      <alignment horizontal="center"/>
    </xf>
    <xf numFmtId="0" fontId="33" fillId="0" borderId="0" xfId="0" applyFont="1" applyFill="1" applyAlignment="1" applyProtection="1">
      <alignment horizontal="left"/>
    </xf>
    <xf numFmtId="0" fontId="26" fillId="0" borderId="0" xfId="0" applyFont="1" applyFill="1" applyAlignment="1" applyProtection="1">
      <alignment horizontal="left" indent="1"/>
    </xf>
    <xf numFmtId="0" fontId="4" fillId="0" borderId="0" xfId="0" quotePrefix="1" applyFont="1" applyFill="1" applyBorder="1" applyAlignment="1" applyProtection="1">
      <alignment horizontal="left"/>
    </xf>
    <xf numFmtId="0" fontId="4" fillId="3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165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164" fontId="26" fillId="5" borderId="13" xfId="0" applyNumberFormat="1" applyFont="1" applyFill="1" applyBorder="1" applyAlignment="1" applyProtection="1">
      <alignment horizontal="center"/>
    </xf>
    <xf numFmtId="0" fontId="37" fillId="3" borderId="0" xfId="0" applyFont="1" applyFill="1" applyBorder="1" applyProtection="1"/>
    <xf numFmtId="0" fontId="5" fillId="2" borderId="7" xfId="0" applyFont="1" applyFill="1" applyBorder="1" applyProtection="1"/>
    <xf numFmtId="0" fontId="38" fillId="2" borderId="1" xfId="0" applyFont="1" applyFill="1" applyBorder="1" applyProtection="1"/>
    <xf numFmtId="0" fontId="38" fillId="2" borderId="2" xfId="0" applyFont="1" applyFill="1" applyBorder="1" applyProtection="1"/>
    <xf numFmtId="0" fontId="38" fillId="2" borderId="3" xfId="0" applyFont="1" applyFill="1" applyBorder="1" applyProtection="1"/>
    <xf numFmtId="0" fontId="38" fillId="2" borderId="4" xfId="0" applyFont="1" applyFill="1" applyBorder="1" applyProtection="1"/>
    <xf numFmtId="0" fontId="38" fillId="2" borderId="0" xfId="0" applyFont="1" applyFill="1" applyBorder="1" applyProtection="1"/>
    <xf numFmtId="0" fontId="38" fillId="2" borderId="5" xfId="0" applyFont="1" applyFill="1" applyBorder="1" applyProtection="1"/>
    <xf numFmtId="0" fontId="38" fillId="3" borderId="13" xfId="0" applyFont="1" applyFill="1" applyBorder="1" applyProtection="1"/>
    <xf numFmtId="0" fontId="39" fillId="3" borderId="13" xfId="0" applyFont="1" applyFill="1" applyBorder="1" applyProtection="1"/>
    <xf numFmtId="0" fontId="38" fillId="2" borderId="6" xfId="0" applyFont="1" applyFill="1" applyBorder="1" applyProtection="1"/>
    <xf numFmtId="0" fontId="38" fillId="2" borderId="7" xfId="0" applyFont="1" applyFill="1" applyBorder="1" applyProtection="1"/>
    <xf numFmtId="0" fontId="38" fillId="2" borderId="8" xfId="0" applyFont="1" applyFill="1" applyBorder="1" applyProtection="1"/>
    <xf numFmtId="0" fontId="38" fillId="3" borderId="0" xfId="0" applyFont="1" applyFill="1" applyBorder="1" applyProtection="1"/>
    <xf numFmtId="0" fontId="40" fillId="2" borderId="4" xfId="0" applyFont="1" applyFill="1" applyBorder="1" applyProtection="1"/>
    <xf numFmtId="0" fontId="40" fillId="2" borderId="5" xfId="0" applyFont="1" applyFill="1" applyBorder="1" applyProtection="1"/>
    <xf numFmtId="0" fontId="39" fillId="2" borderId="4" xfId="0" applyFont="1" applyFill="1" applyBorder="1" applyProtection="1"/>
    <xf numFmtId="0" fontId="39" fillId="2" borderId="5" xfId="0" applyFont="1" applyFill="1" applyBorder="1" applyProtection="1"/>
    <xf numFmtId="0" fontId="41" fillId="2" borderId="4" xfId="0" applyFont="1" applyFill="1" applyBorder="1" applyProtection="1"/>
    <xf numFmtId="0" fontId="41" fillId="2" borderId="5" xfId="0" applyFont="1" applyFill="1" applyBorder="1" applyProtection="1"/>
    <xf numFmtId="0" fontId="39" fillId="3" borderId="0" xfId="0" applyFont="1" applyFill="1" applyBorder="1" applyAlignment="1" applyProtection="1">
      <alignment horizontal="right"/>
    </xf>
    <xf numFmtId="0" fontId="39" fillId="3" borderId="0" xfId="0" applyFont="1" applyFill="1" applyBorder="1" applyProtection="1"/>
    <xf numFmtId="0" fontId="41" fillId="3" borderId="13" xfId="0" applyFont="1" applyFill="1" applyBorder="1" applyProtection="1"/>
    <xf numFmtId="0" fontId="38" fillId="3" borderId="13" xfId="0" applyFont="1" applyFill="1" applyBorder="1" applyAlignment="1" applyProtection="1">
      <alignment horizontal="left"/>
    </xf>
    <xf numFmtId="0" fontId="38" fillId="2" borderId="0" xfId="0" applyFont="1" applyFill="1" applyBorder="1" applyAlignment="1" applyProtection="1">
      <alignment horizontal="center"/>
    </xf>
    <xf numFmtId="0" fontId="38" fillId="3" borderId="13" xfId="0" applyFont="1" applyFill="1" applyBorder="1" applyAlignment="1" applyProtection="1">
      <alignment horizontal="center"/>
    </xf>
    <xf numFmtId="0" fontId="38" fillId="4" borderId="13" xfId="0" applyFont="1" applyFill="1" applyBorder="1" applyAlignment="1" applyProtection="1">
      <alignment horizontal="center"/>
    </xf>
    <xf numFmtId="0" fontId="39" fillId="3" borderId="13" xfId="0" applyFont="1" applyFill="1" applyBorder="1" applyAlignment="1" applyProtection="1">
      <alignment horizontal="center"/>
    </xf>
    <xf numFmtId="0" fontId="38" fillId="2" borderId="7" xfId="0" applyFont="1" applyFill="1" applyBorder="1" applyAlignment="1" applyProtection="1">
      <alignment horizontal="center"/>
    </xf>
    <xf numFmtId="0" fontId="38" fillId="3" borderId="0" xfId="0" applyFont="1" applyFill="1" applyBorder="1" applyAlignment="1" applyProtection="1">
      <alignment horizontal="center"/>
    </xf>
    <xf numFmtId="0" fontId="42" fillId="2" borderId="0" xfId="0" applyFont="1" applyFill="1" applyBorder="1" applyProtection="1"/>
    <xf numFmtId="0" fontId="39" fillId="3" borderId="13" xfId="0" applyFont="1" applyFill="1" applyBorder="1" applyAlignment="1" applyProtection="1">
      <alignment horizontal="left"/>
    </xf>
    <xf numFmtId="0" fontId="4" fillId="3" borderId="10" xfId="0" applyFont="1" applyFill="1" applyBorder="1" applyProtection="1"/>
    <xf numFmtId="0" fontId="4" fillId="3" borderId="13" xfId="0" applyFont="1" applyFill="1" applyBorder="1" applyAlignment="1" applyProtection="1">
      <alignment horizontal="left"/>
    </xf>
    <xf numFmtId="164" fontId="4" fillId="5" borderId="13" xfId="0" applyNumberFormat="1" applyFont="1" applyFill="1" applyBorder="1" applyAlignment="1" applyProtection="1">
      <alignment horizontal="center"/>
    </xf>
    <xf numFmtId="44" fontId="5" fillId="4" borderId="13" xfId="0" applyNumberFormat="1" applyFont="1" applyFill="1" applyBorder="1" applyProtection="1"/>
    <xf numFmtId="0" fontId="43" fillId="3" borderId="13" xfId="0" applyFont="1" applyFill="1" applyBorder="1" applyProtection="1"/>
    <xf numFmtId="0" fontId="41" fillId="2" borderId="0" xfId="0" applyFont="1" applyFill="1" applyBorder="1" applyProtection="1"/>
    <xf numFmtId="0" fontId="41" fillId="3" borderId="0" xfId="0" applyFont="1" applyFill="1" applyBorder="1" applyProtection="1"/>
    <xf numFmtId="0" fontId="45" fillId="2" borderId="4" xfId="0" applyFont="1" applyFill="1" applyBorder="1" applyProtection="1"/>
    <xf numFmtId="0" fontId="45" fillId="2" borderId="0" xfId="0" applyFont="1" applyFill="1" applyBorder="1" applyProtection="1"/>
    <xf numFmtId="0" fontId="37" fillId="2" borderId="0" xfId="0" applyFont="1" applyFill="1" applyBorder="1" applyProtection="1"/>
    <xf numFmtId="0" fontId="45" fillId="2" borderId="5" xfId="0" applyFont="1" applyFill="1" applyBorder="1" applyProtection="1"/>
    <xf numFmtId="0" fontId="45" fillId="3" borderId="0" xfId="0" applyFont="1" applyFill="1" applyBorder="1" applyProtection="1"/>
    <xf numFmtId="0" fontId="38" fillId="3" borderId="9" xfId="0" applyFont="1" applyFill="1" applyBorder="1" applyProtection="1"/>
    <xf numFmtId="0" fontId="38" fillId="3" borderId="10" xfId="0" applyFont="1" applyFill="1" applyBorder="1" applyProtection="1"/>
    <xf numFmtId="0" fontId="38" fillId="2" borderId="13" xfId="0" applyFont="1" applyFill="1" applyBorder="1" applyAlignment="1" applyProtection="1">
      <alignment horizontal="center"/>
      <protection locked="0"/>
    </xf>
    <xf numFmtId="0" fontId="39" fillId="4" borderId="13" xfId="0" applyFont="1" applyFill="1" applyBorder="1" applyAlignment="1" applyProtection="1">
      <alignment horizontal="center"/>
    </xf>
    <xf numFmtId="2" fontId="38" fillId="3" borderId="13" xfId="0" applyNumberFormat="1" applyFont="1" applyFill="1" applyBorder="1" applyAlignment="1" applyProtection="1">
      <alignment horizontal="left"/>
    </xf>
    <xf numFmtId="0" fontId="46" fillId="3" borderId="13" xfId="0" applyFont="1" applyFill="1" applyBorder="1" applyAlignment="1" applyProtection="1">
      <alignment horizontal="left"/>
    </xf>
    <xf numFmtId="0" fontId="46" fillId="3" borderId="13" xfId="0" applyFont="1" applyFill="1" applyBorder="1" applyAlignment="1" applyProtection="1">
      <alignment horizontal="center"/>
    </xf>
    <xf numFmtId="1" fontId="38" fillId="5" borderId="13" xfId="0" applyNumberFormat="1" applyFont="1" applyFill="1" applyBorder="1" applyAlignment="1" applyProtection="1">
      <alignment horizontal="center"/>
    </xf>
    <xf numFmtId="0" fontId="38" fillId="3" borderId="18" xfId="0" applyFont="1" applyFill="1" applyBorder="1" applyProtection="1"/>
    <xf numFmtId="0" fontId="38" fillId="2" borderId="19" xfId="0" applyFont="1" applyFill="1" applyBorder="1" applyProtection="1"/>
    <xf numFmtId="0" fontId="39" fillId="3" borderId="0" xfId="0" applyFont="1" applyFill="1" applyBorder="1" applyAlignment="1" applyProtection="1">
      <alignment horizontal="left"/>
    </xf>
    <xf numFmtId="0" fontId="37" fillId="3" borderId="0" xfId="0" applyFont="1" applyFill="1" applyBorder="1" applyAlignment="1" applyProtection="1">
      <alignment horizontal="center"/>
    </xf>
    <xf numFmtId="0" fontId="38" fillId="3" borderId="0" xfId="0" applyFont="1" applyFill="1" applyBorder="1" applyAlignment="1" applyProtection="1">
      <alignment horizontal="left"/>
    </xf>
    <xf numFmtId="164" fontId="38" fillId="3" borderId="0" xfId="0" applyNumberFormat="1" applyFont="1" applyFill="1" applyBorder="1" applyAlignment="1" applyProtection="1">
      <alignment horizontal="center"/>
    </xf>
    <xf numFmtId="164" fontId="39" fillId="3" borderId="0" xfId="0" applyNumberFormat="1" applyFont="1" applyFill="1" applyBorder="1" applyAlignment="1" applyProtection="1">
      <alignment horizontal="center"/>
    </xf>
    <xf numFmtId="164" fontId="39" fillId="2" borderId="5" xfId="0" applyNumberFormat="1" applyFont="1" applyFill="1" applyBorder="1" applyAlignment="1" applyProtection="1">
      <alignment horizontal="center"/>
    </xf>
    <xf numFmtId="9" fontId="39" fillId="3" borderId="0" xfId="0" applyNumberFormat="1" applyFont="1" applyFill="1" applyBorder="1" applyAlignment="1" applyProtection="1">
      <alignment horizontal="center"/>
    </xf>
    <xf numFmtId="164" fontId="39" fillId="3" borderId="0" xfId="0" applyNumberFormat="1" applyFont="1" applyFill="1" applyBorder="1" applyProtection="1"/>
    <xf numFmtId="164" fontId="38" fillId="3" borderId="0" xfId="0" applyNumberFormat="1" applyFont="1" applyFill="1" applyBorder="1" applyProtection="1"/>
    <xf numFmtId="0" fontId="40" fillId="3" borderId="0" xfId="0" applyFont="1" applyFill="1" applyBorder="1" applyProtection="1"/>
    <xf numFmtId="2" fontId="38" fillId="3" borderId="0" xfId="0" applyNumberFormat="1" applyFont="1" applyFill="1" applyBorder="1" applyProtection="1"/>
    <xf numFmtId="0" fontId="43" fillId="3" borderId="0" xfId="0" applyFont="1" applyFill="1" applyBorder="1" applyProtection="1"/>
    <xf numFmtId="0" fontId="40" fillId="3" borderId="0" xfId="0" applyFont="1" applyFill="1" applyBorder="1" applyAlignment="1" applyProtection="1">
      <alignment horizontal="right"/>
    </xf>
    <xf numFmtId="2" fontId="40" fillId="3" borderId="0" xfId="0" applyNumberFormat="1" applyFont="1" applyFill="1" applyBorder="1" applyProtection="1"/>
    <xf numFmtId="164" fontId="40" fillId="3" borderId="0" xfId="0" applyNumberFormat="1" applyFont="1" applyFill="1" applyBorder="1" applyProtection="1"/>
    <xf numFmtId="0" fontId="39" fillId="3" borderId="0" xfId="0" applyFont="1" applyFill="1" applyBorder="1" applyAlignment="1" applyProtection="1">
      <alignment horizontal="center"/>
    </xf>
    <xf numFmtId="2" fontId="39" fillId="3" borderId="0" xfId="0" applyNumberFormat="1" applyFont="1" applyFill="1" applyBorder="1" applyProtection="1"/>
    <xf numFmtId="2" fontId="38" fillId="3" borderId="0" xfId="0" applyNumberFormat="1" applyFont="1" applyFill="1" applyBorder="1" applyAlignment="1" applyProtection="1">
      <alignment horizontal="left"/>
    </xf>
    <xf numFmtId="0" fontId="46" fillId="3" borderId="0" xfId="0" applyFont="1" applyFill="1" applyBorder="1" applyAlignment="1" applyProtection="1">
      <alignment horizontal="left"/>
    </xf>
    <xf numFmtId="0" fontId="47" fillId="3" borderId="0" xfId="0" applyFont="1" applyFill="1" applyBorder="1" applyProtection="1"/>
    <xf numFmtId="0" fontId="48" fillId="3" borderId="0" xfId="0" applyFont="1" applyFill="1" applyBorder="1" applyProtection="1"/>
    <xf numFmtId="0" fontId="49" fillId="3" borderId="0" xfId="0" applyFont="1" applyFill="1" applyBorder="1" applyProtection="1"/>
    <xf numFmtId="0" fontId="38" fillId="3" borderId="0" xfId="0" quotePrefix="1" applyFont="1" applyFill="1" applyBorder="1" applyProtection="1"/>
    <xf numFmtId="2" fontId="49" fillId="3" borderId="0" xfId="0" applyNumberFormat="1" applyFont="1" applyFill="1" applyBorder="1" applyAlignment="1" applyProtection="1">
      <alignment horizontal="left"/>
    </xf>
    <xf numFmtId="0" fontId="49" fillId="3" borderId="0" xfId="0" applyFont="1" applyFill="1" applyBorder="1" applyAlignment="1" applyProtection="1">
      <alignment horizontal="left"/>
    </xf>
    <xf numFmtId="0" fontId="44" fillId="3" borderId="0" xfId="0" applyFont="1" applyFill="1" applyBorder="1" applyProtection="1"/>
    <xf numFmtId="0" fontId="43" fillId="3" borderId="9" xfId="0" applyFont="1" applyFill="1" applyBorder="1" applyProtection="1"/>
    <xf numFmtId="0" fontId="39" fillId="3" borderId="0" xfId="0" applyFont="1" applyFill="1" applyBorder="1" applyAlignment="1" applyProtection="1">
      <alignment horizontal="left" indent="1"/>
    </xf>
    <xf numFmtId="0" fontId="37" fillId="3" borderId="0" xfId="0" applyFont="1" applyFill="1" applyBorder="1" applyAlignment="1" applyProtection="1">
      <alignment horizontal="left" indent="1"/>
    </xf>
    <xf numFmtId="0" fontId="39" fillId="2" borderId="0" xfId="0" applyFont="1" applyFill="1" applyBorder="1" applyAlignment="1" applyProtection="1">
      <alignment horizontal="left" indent="1"/>
    </xf>
    <xf numFmtId="0" fontId="38" fillId="3" borderId="16" xfId="0" applyFont="1" applyFill="1" applyBorder="1" applyProtection="1"/>
    <xf numFmtId="0" fontId="38" fillId="0" borderId="16" xfId="0" applyFont="1" applyFill="1" applyBorder="1" applyAlignment="1" applyProtection="1">
      <alignment horizontal="center"/>
      <protection locked="0"/>
    </xf>
    <xf numFmtId="0" fontId="38" fillId="2" borderId="20" xfId="0" applyFont="1" applyFill="1" applyBorder="1" applyProtection="1"/>
    <xf numFmtId="0" fontId="38" fillId="2" borderId="21" xfId="0" applyFont="1" applyFill="1" applyBorder="1" applyProtection="1"/>
    <xf numFmtId="0" fontId="39" fillId="3" borderId="13" xfId="0" applyFont="1" applyFill="1" applyBorder="1" applyAlignment="1" applyProtection="1"/>
    <xf numFmtId="44" fontId="39" fillId="4" borderId="13" xfId="0" applyNumberFormat="1" applyFont="1" applyFill="1" applyBorder="1" applyProtection="1"/>
    <xf numFmtId="44" fontId="38" fillId="5" borderId="13" xfId="0" applyNumberFormat="1" applyFont="1" applyFill="1" applyBorder="1" applyProtection="1"/>
    <xf numFmtId="0" fontId="50" fillId="3" borderId="0" xfId="0" applyFont="1" applyFill="1" applyBorder="1" applyAlignment="1" applyProtection="1">
      <alignment horizontal="left" indent="1"/>
    </xf>
    <xf numFmtId="14" fontId="4" fillId="0" borderId="0" xfId="0" applyNumberFormat="1" applyFont="1" applyFill="1" applyBorder="1" applyAlignment="1" applyProtection="1">
      <alignment horizontal="left"/>
    </xf>
    <xf numFmtId="0" fontId="42" fillId="2" borderId="0" xfId="0" applyFont="1" applyFill="1" applyBorder="1"/>
    <xf numFmtId="0" fontId="38" fillId="3" borderId="16" xfId="0" applyFont="1" applyFill="1" applyBorder="1" applyAlignment="1" applyProtection="1">
      <alignment horizontal="center"/>
    </xf>
    <xf numFmtId="0" fontId="38" fillId="3" borderId="12" xfId="0" applyFont="1" applyFill="1" applyBorder="1" applyProtection="1"/>
    <xf numFmtId="164" fontId="38" fillId="3" borderId="12" xfId="0" applyNumberFormat="1" applyFont="1" applyFill="1" applyBorder="1" applyAlignment="1" applyProtection="1">
      <alignment horizontal="center"/>
    </xf>
    <xf numFmtId="0" fontId="39" fillId="3" borderId="22" xfId="0" applyFont="1" applyFill="1" applyBorder="1" applyProtection="1"/>
    <xf numFmtId="0" fontId="39" fillId="3" borderId="16" xfId="0" applyFont="1" applyFill="1" applyBorder="1" applyProtection="1"/>
    <xf numFmtId="0" fontId="52" fillId="2" borderId="0" xfId="0" applyFont="1" applyFill="1" applyBorder="1"/>
    <xf numFmtId="0" fontId="53" fillId="2" borderId="0" xfId="0" applyFont="1" applyFill="1" applyBorder="1"/>
    <xf numFmtId="0" fontId="51" fillId="3" borderId="13" xfId="0" applyFont="1" applyFill="1" applyBorder="1" applyProtection="1"/>
    <xf numFmtId="0" fontId="38" fillId="5" borderId="13" xfId="0" applyFont="1" applyFill="1" applyBorder="1" applyAlignment="1" applyProtection="1">
      <alignment horizontal="center"/>
    </xf>
    <xf numFmtId="169" fontId="38" fillId="5" borderId="13" xfId="0" applyNumberFormat="1" applyFont="1" applyFill="1" applyBorder="1" applyAlignment="1" applyProtection="1">
      <alignment horizontal="center"/>
    </xf>
    <xf numFmtId="0" fontId="38" fillId="3" borderId="22" xfId="0" applyFont="1" applyFill="1" applyBorder="1" applyProtection="1"/>
    <xf numFmtId="0" fontId="38" fillId="3" borderId="22" xfId="0" applyFont="1" applyFill="1" applyBorder="1" applyAlignment="1" applyProtection="1">
      <alignment horizontal="center"/>
    </xf>
    <xf numFmtId="165" fontId="38" fillId="3" borderId="12" xfId="0" applyNumberFormat="1" applyFont="1" applyFill="1" applyBorder="1" applyAlignment="1" applyProtection="1">
      <alignment horizontal="center"/>
    </xf>
    <xf numFmtId="0" fontId="38" fillId="0" borderId="13" xfId="0" applyFont="1" applyFill="1" applyBorder="1" applyAlignment="1" applyProtection="1">
      <alignment horizontal="center"/>
      <protection locked="0"/>
    </xf>
    <xf numFmtId="0" fontId="38" fillId="3" borderId="0" xfId="0" applyFont="1" applyFill="1" applyBorder="1" applyAlignment="1" applyProtection="1">
      <alignment wrapText="1"/>
    </xf>
    <xf numFmtId="44" fontId="38" fillId="0" borderId="13" xfId="0" applyNumberFormat="1" applyFont="1" applyFill="1" applyBorder="1" applyProtection="1">
      <protection locked="0"/>
    </xf>
    <xf numFmtId="4" fontId="33" fillId="0" borderId="0" xfId="0" applyNumberFormat="1" applyFont="1" applyFill="1" applyBorder="1" applyAlignment="1" applyProtection="1">
      <alignment horizontal="left"/>
    </xf>
    <xf numFmtId="164" fontId="33" fillId="0" borderId="0" xfId="0" applyNumberFormat="1" applyFont="1" applyFill="1" applyBorder="1" applyAlignment="1" applyProtection="1">
      <alignment horizontal="left"/>
    </xf>
    <xf numFmtId="10" fontId="33" fillId="0" borderId="0" xfId="3" applyNumberFormat="1" applyFont="1" applyFill="1" applyBorder="1" applyAlignment="1" applyProtection="1">
      <alignment horizontal="left"/>
    </xf>
    <xf numFmtId="168" fontId="4" fillId="0" borderId="0" xfId="0" applyNumberFormat="1" applyFont="1" applyFill="1" applyBorder="1" applyAlignment="1" applyProtection="1">
      <alignment horizontal="left"/>
    </xf>
    <xf numFmtId="167" fontId="4" fillId="0" borderId="0" xfId="0" applyNumberFormat="1" applyFont="1" applyFill="1" applyBorder="1" applyAlignment="1" applyProtection="1">
      <alignment horizontal="left"/>
    </xf>
    <xf numFmtId="0" fontId="37" fillId="3" borderId="14" xfId="0" applyFont="1" applyFill="1" applyBorder="1" applyAlignment="1" applyProtection="1">
      <alignment wrapText="1"/>
    </xf>
    <xf numFmtId="0" fontId="30" fillId="2" borderId="0" xfId="0" applyFont="1" applyFill="1" applyBorder="1" applyProtection="1"/>
    <xf numFmtId="2" fontId="4" fillId="2" borderId="13" xfId="0" applyNumberFormat="1" applyFont="1" applyFill="1" applyBorder="1" applyAlignment="1" applyProtection="1">
      <alignment horizontal="center"/>
      <protection locked="0"/>
    </xf>
    <xf numFmtId="165" fontId="4" fillId="2" borderId="13" xfId="0" applyNumberFormat="1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left"/>
    </xf>
    <xf numFmtId="0" fontId="38" fillId="3" borderId="15" xfId="0" applyFont="1" applyFill="1" applyBorder="1" applyProtection="1"/>
    <xf numFmtId="0" fontId="38" fillId="3" borderId="13" xfId="0" applyFont="1" applyFill="1" applyBorder="1" applyAlignment="1" applyProtection="1">
      <alignment horizontal="left" indent="1"/>
    </xf>
    <xf numFmtId="0" fontId="56" fillId="3" borderId="0" xfId="0" applyFont="1" applyFill="1" applyBorder="1" applyProtection="1"/>
    <xf numFmtId="0" fontId="39" fillId="3" borderId="14" xfId="0" applyFont="1" applyFill="1" applyBorder="1" applyAlignment="1" applyProtection="1"/>
    <xf numFmtId="0" fontId="38" fillId="3" borderId="10" xfId="0" applyFont="1" applyFill="1" applyBorder="1" applyAlignment="1" applyProtection="1">
      <alignment horizontal="center"/>
    </xf>
    <xf numFmtId="169" fontId="38" fillId="7" borderId="13" xfId="0" applyNumberFormat="1" applyFont="1" applyFill="1" applyBorder="1" applyAlignment="1" applyProtection="1">
      <alignment horizontal="center"/>
    </xf>
    <xf numFmtId="0" fontId="39" fillId="3" borderId="12" xfId="0" applyFont="1" applyFill="1" applyBorder="1" applyProtection="1"/>
    <xf numFmtId="0" fontId="55" fillId="3" borderId="0" xfId="0" applyFont="1" applyFill="1" applyBorder="1" applyProtection="1"/>
    <xf numFmtId="0" fontId="58" fillId="3" borderId="0" xfId="0" applyFont="1" applyFill="1" applyBorder="1" applyAlignment="1" applyProtection="1">
      <alignment horizontal="center"/>
    </xf>
    <xf numFmtId="0" fontId="54" fillId="3" borderId="0" xfId="0" applyFont="1" applyFill="1" applyBorder="1" applyAlignment="1" applyProtection="1">
      <alignment horizontal="center"/>
    </xf>
    <xf numFmtId="0" fontId="57" fillId="3" borderId="0" xfId="0" applyFont="1" applyFill="1" applyBorder="1" applyAlignment="1" applyProtection="1">
      <alignment horizontal="center"/>
    </xf>
    <xf numFmtId="0" fontId="37" fillId="3" borderId="0" xfId="0" applyFont="1" applyFill="1" applyBorder="1" applyAlignment="1" applyProtection="1">
      <alignment horizontal="left"/>
    </xf>
    <xf numFmtId="0" fontId="43" fillId="3" borderId="23" xfId="0" applyFont="1" applyFill="1" applyBorder="1" applyProtection="1"/>
    <xf numFmtId="0" fontId="38" fillId="2" borderId="0" xfId="0" applyFont="1" applyFill="1" applyBorder="1" applyProtection="1">
      <protection locked="0"/>
    </xf>
    <xf numFmtId="0" fontId="59" fillId="3" borderId="14" xfId="0" applyFont="1" applyFill="1" applyBorder="1" applyAlignment="1" applyProtection="1">
      <alignment wrapText="1"/>
    </xf>
    <xf numFmtId="0" fontId="38" fillId="3" borderId="14" xfId="0" applyFont="1" applyFill="1" applyBorder="1" applyAlignment="1" applyProtection="1">
      <alignment horizontal="left" indent="1"/>
    </xf>
    <xf numFmtId="0" fontId="37" fillId="3" borderId="14" xfId="0" applyFont="1" applyFill="1" applyBorder="1" applyAlignment="1" applyProtection="1">
      <alignment horizontal="left" indent="1"/>
    </xf>
    <xf numFmtId="0" fontId="38" fillId="3" borderId="0" xfId="0" applyFont="1" applyFill="1" applyProtection="1"/>
    <xf numFmtId="0" fontId="57" fillId="3" borderId="0" xfId="0" applyFont="1" applyFill="1" applyBorder="1" applyProtection="1"/>
    <xf numFmtId="0" fontId="39" fillId="3" borderId="0" xfId="0" applyFont="1" applyFill="1" applyProtection="1"/>
    <xf numFmtId="0" fontId="7" fillId="3" borderId="0" xfId="0" applyFont="1" applyFill="1" applyBorder="1" applyAlignment="1" applyProtection="1">
      <alignment horizontal="right"/>
    </xf>
    <xf numFmtId="0" fontId="23" fillId="2" borderId="4" xfId="0" applyFont="1" applyFill="1" applyBorder="1" applyProtection="1"/>
    <xf numFmtId="0" fontId="37" fillId="3" borderId="13" xfId="0" applyFont="1" applyFill="1" applyBorder="1" applyProtection="1"/>
    <xf numFmtId="0" fontId="37" fillId="3" borderId="13" xfId="0" applyFont="1" applyFill="1" applyBorder="1" applyAlignment="1" applyProtection="1">
      <alignment horizontal="center"/>
    </xf>
    <xf numFmtId="0" fontId="23" fillId="2" borderId="5" xfId="0" applyFont="1" applyFill="1" applyBorder="1" applyProtection="1"/>
    <xf numFmtId="0" fontId="23" fillId="3" borderId="0" xfId="0" applyFont="1" applyFill="1" applyBorder="1" applyProtection="1"/>
    <xf numFmtId="164" fontId="23" fillId="5" borderId="13" xfId="0" applyNumberFormat="1" applyFont="1" applyFill="1" applyBorder="1" applyAlignment="1" applyProtection="1">
      <alignment horizontal="center"/>
    </xf>
    <xf numFmtId="4" fontId="4" fillId="5" borderId="0" xfId="0" applyNumberFormat="1" applyFont="1" applyFill="1" applyBorder="1" applyAlignment="1" applyProtection="1">
      <alignment horizontal="left"/>
      <protection locked="0"/>
    </xf>
    <xf numFmtId="44" fontId="4" fillId="5" borderId="0" xfId="2" applyFont="1" applyFill="1" applyBorder="1" applyAlignment="1" applyProtection="1">
      <alignment horizontal="center"/>
      <protection locked="0"/>
    </xf>
    <xf numFmtId="166" fontId="4" fillId="5" borderId="0" xfId="0" applyNumberFormat="1" applyFont="1" applyFill="1" applyAlignment="1" applyProtection="1">
      <alignment horizontal="left"/>
      <protection locked="0"/>
    </xf>
    <xf numFmtId="0" fontId="4" fillId="2" borderId="5" xfId="0" applyFont="1" applyFill="1" applyBorder="1" applyProtection="1"/>
    <xf numFmtId="0" fontId="5" fillId="2" borderId="2" xfId="0" applyFont="1" applyFill="1" applyBorder="1" applyProtection="1"/>
    <xf numFmtId="167" fontId="4" fillId="5" borderId="0" xfId="0" applyNumberFormat="1" applyFont="1" applyFill="1" applyBorder="1" applyAlignment="1" applyProtection="1">
      <alignment horizontal="left"/>
      <protection locked="0"/>
    </xf>
    <xf numFmtId="167" fontId="4" fillId="5" borderId="0" xfId="0" applyNumberFormat="1" applyFont="1" applyFill="1" applyBorder="1" applyAlignment="1" applyProtection="1">
      <alignment horizontal="center"/>
      <protection locked="0"/>
    </xf>
    <xf numFmtId="164" fontId="33" fillId="5" borderId="0" xfId="0" applyNumberFormat="1" applyFont="1" applyFill="1" applyBorder="1" applyAlignment="1" applyProtection="1">
      <alignment horizontal="left"/>
      <protection locked="0"/>
    </xf>
    <xf numFmtId="164" fontId="4" fillId="5" borderId="0" xfId="0" applyNumberFormat="1" applyFont="1" applyFill="1" applyBorder="1" applyAlignment="1" applyProtection="1">
      <alignment horizontal="left"/>
      <protection locked="0"/>
    </xf>
    <xf numFmtId="164" fontId="33" fillId="6" borderId="0" xfId="0" applyNumberFormat="1" applyFont="1" applyFill="1" applyBorder="1" applyAlignment="1" applyProtection="1">
      <alignment horizontal="left"/>
      <protection locked="0"/>
    </xf>
    <xf numFmtId="164" fontId="4" fillId="5" borderId="0" xfId="0" applyNumberFormat="1" applyFont="1" applyFill="1" applyBorder="1" applyProtection="1">
      <protection locked="0"/>
    </xf>
    <xf numFmtId="0" fontId="5" fillId="3" borderId="13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164" fontId="4" fillId="3" borderId="0" xfId="0" applyNumberFormat="1" applyFont="1" applyFill="1" applyBorder="1" applyProtection="1"/>
    <xf numFmtId="164" fontId="6" fillId="3" borderId="0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164" fontId="27" fillId="3" borderId="0" xfId="0" applyNumberFormat="1" applyFont="1" applyFill="1" applyBorder="1" applyAlignment="1" applyProtection="1">
      <alignment horizontal="center"/>
    </xf>
    <xf numFmtId="164" fontId="26" fillId="3" borderId="0" xfId="0" applyNumberFormat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center"/>
    </xf>
    <xf numFmtId="0" fontId="19" fillId="3" borderId="0" xfId="0" applyFont="1" applyFill="1" applyBorder="1" applyProtection="1"/>
    <xf numFmtId="164" fontId="6" fillId="5" borderId="1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13" fillId="3" borderId="0" xfId="0" applyFont="1" applyFill="1" applyBorder="1" applyProtection="1"/>
    <xf numFmtId="0" fontId="13" fillId="2" borderId="4" xfId="0" applyFont="1" applyFill="1" applyBorder="1" applyProtection="1"/>
    <xf numFmtId="0" fontId="61" fillId="2" borderId="0" xfId="0" applyFont="1" applyFill="1" applyBorder="1" applyProtection="1"/>
    <xf numFmtId="0" fontId="13" fillId="2" borderId="5" xfId="0" applyFont="1" applyFill="1" applyBorder="1" applyProtection="1"/>
    <xf numFmtId="0" fontId="14" fillId="3" borderId="0" xfId="0" applyFont="1" applyFill="1" applyBorder="1" applyProtection="1"/>
    <xf numFmtId="0" fontId="14" fillId="2" borderId="4" xfId="0" applyFont="1" applyFill="1" applyBorder="1" applyProtection="1"/>
    <xf numFmtId="0" fontId="62" fillId="2" borderId="0" xfId="0" applyFont="1" applyFill="1" applyBorder="1" applyProtection="1"/>
    <xf numFmtId="0" fontId="14" fillId="2" borderId="5" xfId="0" applyFont="1" applyFill="1" applyBorder="1" applyProtection="1"/>
    <xf numFmtId="0" fontId="4" fillId="3" borderId="9" xfId="0" applyFont="1" applyFill="1" applyBorder="1" applyProtection="1"/>
    <xf numFmtId="0" fontId="4" fillId="3" borderId="12" xfId="0" applyFont="1" applyFill="1" applyBorder="1" applyProtection="1"/>
    <xf numFmtId="0" fontId="4" fillId="3" borderId="14" xfId="0" applyFont="1" applyFill="1" applyBorder="1" applyProtection="1"/>
    <xf numFmtId="0" fontId="4" fillId="3" borderId="22" xfId="0" applyFont="1" applyFill="1" applyBorder="1" applyProtection="1"/>
    <xf numFmtId="0" fontId="4" fillId="3" borderId="24" xfId="0" applyFont="1" applyFill="1" applyBorder="1" applyProtection="1"/>
    <xf numFmtId="0" fontId="4" fillId="3" borderId="4" xfId="0" applyFont="1" applyFill="1" applyBorder="1" applyProtection="1"/>
    <xf numFmtId="164" fontId="4" fillId="3" borderId="0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Protection="1"/>
    <xf numFmtId="2" fontId="4" fillId="5" borderId="13" xfId="0" applyNumberFormat="1" applyFont="1" applyFill="1" applyBorder="1" applyAlignment="1" applyProtection="1">
      <alignment horizontal="center"/>
    </xf>
    <xf numFmtId="165" fontId="4" fillId="5" borderId="13" xfId="0" applyNumberFormat="1" applyFont="1" applyFill="1" applyBorder="1" applyAlignment="1" applyProtection="1">
      <alignment horizontal="center"/>
    </xf>
    <xf numFmtId="0" fontId="4" fillId="5" borderId="13" xfId="0" applyFont="1" applyFill="1" applyBorder="1" applyAlignment="1" applyProtection="1">
      <alignment horizontal="center"/>
    </xf>
    <xf numFmtId="0" fontId="4" fillId="3" borderId="17" xfId="0" applyFont="1" applyFill="1" applyBorder="1" applyProtection="1"/>
    <xf numFmtId="0" fontId="7" fillId="3" borderId="0" xfId="0" applyFont="1" applyFill="1" applyBorder="1" applyProtection="1"/>
    <xf numFmtId="0" fontId="5" fillId="3" borderId="13" xfId="0" applyFont="1" applyFill="1" applyBorder="1" applyAlignment="1" applyProtection="1">
      <alignment horizontal="left"/>
    </xf>
    <xf numFmtId="0" fontId="23" fillId="3" borderId="13" xfId="0" applyFont="1" applyFill="1" applyBorder="1" applyAlignment="1" applyProtection="1">
      <alignment horizontal="left"/>
    </xf>
    <xf numFmtId="0" fontId="6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4" fillId="2" borderId="21" xfId="0" applyFont="1" applyFill="1" applyBorder="1" applyProtection="1"/>
    <xf numFmtId="0" fontId="5" fillId="3" borderId="11" xfId="0" applyFont="1" applyFill="1" applyBorder="1" applyProtection="1"/>
    <xf numFmtId="0" fontId="23" fillId="3" borderId="14" xfId="0" applyFont="1" applyFill="1" applyBorder="1" applyProtection="1"/>
    <xf numFmtId="0" fontId="4" fillId="2" borderId="4" xfId="0" quotePrefix="1" applyFont="1" applyFill="1" applyBorder="1" applyProtection="1"/>
    <xf numFmtId="0" fontId="4" fillId="2" borderId="6" xfId="0" applyFont="1" applyFill="1" applyBorder="1" applyProtection="1"/>
    <xf numFmtId="0" fontId="4" fillId="3" borderId="16" xfId="0" applyFont="1" applyFill="1" applyBorder="1" applyProtection="1"/>
    <xf numFmtId="2" fontId="4" fillId="3" borderId="16" xfId="0" applyNumberFormat="1" applyFont="1" applyFill="1" applyBorder="1" applyProtection="1"/>
    <xf numFmtId="0" fontId="4" fillId="2" borderId="7" xfId="0" applyFont="1" applyFill="1" applyBorder="1" applyProtection="1"/>
    <xf numFmtId="0" fontId="4" fillId="2" borderId="8" xfId="0" applyFont="1" applyFill="1" applyBorder="1" applyProtection="1"/>
    <xf numFmtId="2" fontId="5" fillId="3" borderId="0" xfId="0" applyNumberFormat="1" applyFont="1" applyFill="1" applyBorder="1" applyAlignment="1" applyProtection="1">
      <alignment horizontal="center"/>
    </xf>
    <xf numFmtId="0" fontId="4" fillId="3" borderId="15" xfId="0" applyFont="1" applyFill="1" applyBorder="1" applyProtection="1"/>
    <xf numFmtId="165" fontId="5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2" fontId="4" fillId="3" borderId="0" xfId="0" applyNumberFormat="1" applyFont="1" applyFill="1" applyBorder="1" applyAlignment="1" applyProtection="1">
      <alignment horizontal="left"/>
    </xf>
    <xf numFmtId="2" fontId="4" fillId="3" borderId="0" xfId="0" applyNumberFormat="1" applyFont="1" applyFill="1" applyBorder="1" applyProtection="1"/>
    <xf numFmtId="164" fontId="5" fillId="3" borderId="0" xfId="0" applyNumberFormat="1" applyFont="1" applyFill="1" applyBorder="1" applyProtection="1"/>
    <xf numFmtId="2" fontId="5" fillId="3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44" fontId="6" fillId="5" borderId="13" xfId="0" applyNumberFormat="1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44" fontId="1" fillId="3" borderId="0" xfId="0" applyNumberFormat="1" applyFont="1" applyFill="1" applyProtection="1"/>
    <xf numFmtId="0" fontId="4" fillId="3" borderId="25" xfId="0" applyFont="1" applyFill="1" applyBorder="1" applyProtection="1"/>
    <xf numFmtId="164" fontId="6" fillId="2" borderId="0" xfId="0" applyNumberFormat="1" applyFont="1" applyFill="1" applyBorder="1" applyProtection="1"/>
    <xf numFmtId="0" fontId="4" fillId="3" borderId="26" xfId="0" applyFont="1" applyFill="1" applyBorder="1" applyProtection="1"/>
    <xf numFmtId="0" fontId="4" fillId="3" borderId="24" xfId="0" applyFont="1" applyFill="1" applyBorder="1" applyAlignment="1" applyProtection="1">
      <alignment horizontal="center"/>
    </xf>
    <xf numFmtId="164" fontId="5" fillId="5" borderId="13" xfId="0" applyNumberFormat="1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/>
    </xf>
    <xf numFmtId="0" fontId="5" fillId="2" borderId="6" xfId="0" applyFont="1" applyFill="1" applyBorder="1" applyProtection="1"/>
    <xf numFmtId="0" fontId="4" fillId="0" borderId="13" xfId="0" applyFont="1" applyFill="1" applyBorder="1" applyAlignment="1" applyProtection="1">
      <alignment horizontal="center"/>
      <protection locked="0"/>
    </xf>
    <xf numFmtId="0" fontId="4" fillId="3" borderId="0" xfId="0" quotePrefix="1" applyFont="1" applyFill="1" applyBorder="1" applyProtection="1"/>
    <xf numFmtId="44" fontId="6" fillId="0" borderId="0" xfId="0" applyNumberFormat="1" applyFont="1" applyFill="1" applyBorder="1" applyAlignment="1" applyProtection="1">
      <alignment horizontal="left"/>
    </xf>
    <xf numFmtId="164" fontId="4" fillId="6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</xf>
    <xf numFmtId="0" fontId="64" fillId="2" borderId="4" xfId="0" applyFont="1" applyFill="1" applyBorder="1" applyProtection="1"/>
    <xf numFmtId="0" fontId="64" fillId="2" borderId="0" xfId="0" applyFont="1" applyFill="1" applyBorder="1" applyProtection="1"/>
    <xf numFmtId="0" fontId="65" fillId="2" borderId="0" xfId="0" applyFont="1" applyFill="1" applyBorder="1" applyProtection="1"/>
    <xf numFmtId="0" fontId="64" fillId="2" borderId="5" xfId="0" applyFont="1" applyFill="1" applyBorder="1" applyProtection="1"/>
    <xf numFmtId="0" fontId="66" fillId="2" borderId="0" xfId="0" applyFont="1" applyFill="1" applyBorder="1" applyProtection="1"/>
    <xf numFmtId="0" fontId="39" fillId="2" borderId="0" xfId="0" applyFont="1" applyFill="1" applyBorder="1" applyProtection="1"/>
    <xf numFmtId="0" fontId="39" fillId="2" borderId="13" xfId="0" applyFont="1" applyFill="1" applyBorder="1" applyProtection="1">
      <protection locked="0"/>
    </xf>
    <xf numFmtId="2" fontId="38" fillId="2" borderId="13" xfId="0" applyNumberFormat="1" applyFont="1" applyFill="1" applyBorder="1" applyAlignment="1" applyProtection="1">
      <alignment horizontal="center"/>
      <protection locked="0"/>
    </xf>
    <xf numFmtId="165" fontId="38" fillId="2" borderId="13" xfId="0" applyNumberFormat="1" applyFont="1" applyFill="1" applyBorder="1" applyAlignment="1" applyProtection="1">
      <alignment horizontal="center"/>
      <protection locked="0"/>
    </xf>
    <xf numFmtId="164" fontId="39" fillId="3" borderId="13" xfId="0" applyNumberFormat="1" applyFont="1" applyFill="1" applyBorder="1" applyProtection="1"/>
    <xf numFmtId="164" fontId="38" fillId="3" borderId="13" xfId="0" applyNumberFormat="1" applyFont="1" applyFill="1" applyBorder="1" applyProtection="1"/>
    <xf numFmtId="2" fontId="38" fillId="0" borderId="10" xfId="0" applyNumberFormat="1" applyFont="1" applyFill="1" applyBorder="1" applyAlignment="1" applyProtection="1">
      <alignment horizontal="center"/>
    </xf>
    <xf numFmtId="0" fontId="0" fillId="0" borderId="0" xfId="0" applyProtection="1"/>
    <xf numFmtId="44" fontId="6" fillId="5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left"/>
    </xf>
    <xf numFmtId="0" fontId="67" fillId="3" borderId="13" xfId="0" applyFont="1" applyFill="1" applyBorder="1" applyAlignment="1" applyProtection="1">
      <alignment horizontal="center"/>
    </xf>
    <xf numFmtId="0" fontId="64" fillId="3" borderId="0" xfId="0" applyFont="1" applyFill="1" applyBorder="1" applyProtection="1"/>
    <xf numFmtId="0" fontId="64" fillId="3" borderId="0" xfId="0" applyFont="1" applyFill="1" applyBorder="1" applyAlignment="1" applyProtection="1">
      <alignment horizontal="center"/>
    </xf>
    <xf numFmtId="164" fontId="39" fillId="3" borderId="13" xfId="0" applyNumberFormat="1" applyFont="1" applyFill="1" applyBorder="1" applyAlignment="1" applyProtection="1">
      <alignment horizontal="center"/>
    </xf>
    <xf numFmtId="170" fontId="39" fillId="2" borderId="13" xfId="0" applyNumberFormat="1" applyFont="1" applyFill="1" applyBorder="1" applyAlignment="1" applyProtection="1">
      <alignment horizontal="center"/>
      <protection locked="0"/>
    </xf>
    <xf numFmtId="0" fontId="67" fillId="3" borderId="0" xfId="0" applyFont="1" applyFill="1" applyBorder="1" applyProtection="1"/>
    <xf numFmtId="0" fontId="67" fillId="3" borderId="10" xfId="0" applyFont="1" applyFill="1" applyBorder="1" applyProtection="1"/>
    <xf numFmtId="0" fontId="67" fillId="3" borderId="13" xfId="0" applyFont="1" applyFill="1" applyBorder="1" applyProtection="1"/>
    <xf numFmtId="0" fontId="70" fillId="3" borderId="13" xfId="0" applyFont="1" applyFill="1" applyBorder="1" applyProtection="1"/>
    <xf numFmtId="2" fontId="67" fillId="3" borderId="13" xfId="0" applyNumberFormat="1" applyFont="1" applyFill="1" applyBorder="1" applyAlignment="1" applyProtection="1">
      <alignment horizontal="left"/>
    </xf>
    <xf numFmtId="0" fontId="67" fillId="3" borderId="13" xfId="0" applyFont="1" applyFill="1" applyBorder="1" applyAlignment="1" applyProtection="1">
      <alignment horizontal="left"/>
    </xf>
    <xf numFmtId="0" fontId="67" fillId="3" borderId="22" xfId="0" applyFont="1" applyFill="1" applyBorder="1" applyProtection="1"/>
    <xf numFmtId="0" fontId="67" fillId="3" borderId="24" xfId="0" applyFont="1" applyFill="1" applyBorder="1" applyProtection="1"/>
    <xf numFmtId="0" fontId="71" fillId="3" borderId="13" xfId="0" applyFont="1" applyFill="1" applyBorder="1" applyAlignment="1" applyProtection="1">
      <alignment horizontal="center"/>
    </xf>
    <xf numFmtId="164" fontId="67" fillId="3" borderId="13" xfId="0" applyNumberFormat="1" applyFont="1" applyFill="1" applyBorder="1" applyAlignment="1" applyProtection="1">
      <alignment horizontal="center"/>
    </xf>
    <xf numFmtId="0" fontId="70" fillId="3" borderId="0" xfId="0" applyFont="1" applyFill="1" applyBorder="1" applyProtection="1"/>
    <xf numFmtId="0" fontId="46" fillId="3" borderId="13" xfId="0" applyFont="1" applyFill="1" applyBorder="1" applyProtection="1"/>
    <xf numFmtId="0" fontId="72" fillId="3" borderId="13" xfId="0" applyFont="1" applyFill="1" applyBorder="1" applyProtection="1"/>
    <xf numFmtId="0" fontId="46" fillId="3" borderId="13" xfId="0" applyFont="1" applyFill="1" applyBorder="1" applyAlignment="1" applyProtection="1">
      <alignment horizontal="right"/>
    </xf>
    <xf numFmtId="0" fontId="73" fillId="3" borderId="13" xfId="0" applyFont="1" applyFill="1" applyBorder="1" applyProtection="1"/>
    <xf numFmtId="0" fontId="46" fillId="3" borderId="0" xfId="0" applyFont="1" applyFill="1" applyBorder="1" applyProtection="1"/>
    <xf numFmtId="0" fontId="67" fillId="3" borderId="16" xfId="0" applyFont="1" applyFill="1" applyBorder="1" applyProtection="1"/>
    <xf numFmtId="0" fontId="67" fillId="3" borderId="13" xfId="0" applyFont="1" applyFill="1" applyBorder="1" applyAlignment="1" applyProtection="1">
      <alignment horizontal="right"/>
    </xf>
    <xf numFmtId="0" fontId="72" fillId="3" borderId="0" xfId="0" applyFont="1" applyFill="1" applyBorder="1" applyProtection="1"/>
    <xf numFmtId="0" fontId="46" fillId="3" borderId="16" xfId="0" applyFont="1" applyFill="1" applyBorder="1" applyAlignment="1" applyProtection="1">
      <alignment horizontal="center"/>
    </xf>
    <xf numFmtId="0" fontId="71" fillId="3" borderId="0" xfId="0" applyFont="1" applyFill="1" applyBorder="1" applyProtection="1"/>
    <xf numFmtId="0" fontId="67" fillId="2" borderId="2" xfId="0" applyFont="1" applyFill="1" applyBorder="1" applyProtection="1"/>
    <xf numFmtId="0" fontId="67" fillId="2" borderId="0" xfId="0" applyFont="1" applyFill="1" applyBorder="1" applyProtection="1"/>
    <xf numFmtId="0" fontId="68" fillId="2" borderId="0" xfId="0" applyFont="1" applyFill="1" applyBorder="1" applyProtection="1"/>
    <xf numFmtId="0" fontId="69" fillId="2" borderId="0" xfId="0" applyFont="1" applyFill="1" applyBorder="1" applyProtection="1"/>
    <xf numFmtId="0" fontId="67" fillId="2" borderId="7" xfId="0" applyFont="1" applyFill="1" applyBorder="1" applyProtection="1"/>
    <xf numFmtId="2" fontId="67" fillId="3" borderId="13" xfId="0" applyNumberFormat="1" applyFont="1" applyFill="1" applyBorder="1" applyProtection="1"/>
    <xf numFmtId="0" fontId="4" fillId="3" borderId="27" xfId="0" applyFont="1" applyFill="1" applyBorder="1" applyProtection="1"/>
    <xf numFmtId="0" fontId="4" fillId="3" borderId="28" xfId="0" applyFont="1" applyFill="1" applyBorder="1" applyProtection="1"/>
    <xf numFmtId="0" fontId="67" fillId="3" borderId="29" xfId="0" applyFont="1" applyFill="1" applyBorder="1" applyProtection="1"/>
    <xf numFmtId="0" fontId="4" fillId="3" borderId="29" xfId="0" applyFont="1" applyFill="1" applyBorder="1" applyProtection="1"/>
    <xf numFmtId="0" fontId="4" fillId="3" borderId="29" xfId="0" applyFont="1" applyFill="1" applyBorder="1" applyAlignment="1" applyProtection="1">
      <alignment horizontal="center"/>
    </xf>
    <xf numFmtId="0" fontId="37" fillId="3" borderId="13" xfId="0" quotePrefix="1" applyFont="1" applyFill="1" applyBorder="1" applyAlignment="1" applyProtection="1">
      <alignment horizontal="left"/>
    </xf>
    <xf numFmtId="168" fontId="4" fillId="5" borderId="13" xfId="0" applyNumberFormat="1" applyFont="1" applyFill="1" applyBorder="1" applyAlignment="1" applyProtection="1">
      <alignment horizontal="center"/>
    </xf>
    <xf numFmtId="168" fontId="4" fillId="3" borderId="13" xfId="0" applyNumberFormat="1" applyFont="1" applyFill="1" applyBorder="1" applyProtection="1"/>
    <xf numFmtId="168" fontId="67" fillId="3" borderId="13" xfId="0" applyNumberFormat="1" applyFont="1" applyFill="1" applyBorder="1" applyProtection="1"/>
    <xf numFmtId="168" fontId="5" fillId="4" borderId="13" xfId="0" applyNumberFormat="1" applyFont="1" applyFill="1" applyBorder="1" applyAlignment="1" applyProtection="1">
      <alignment horizontal="center"/>
    </xf>
    <xf numFmtId="168" fontId="5" fillId="3" borderId="13" xfId="0" applyNumberFormat="1" applyFont="1" applyFill="1" applyBorder="1" applyProtection="1"/>
    <xf numFmtId="168" fontId="70" fillId="3" borderId="13" xfId="0" applyNumberFormat="1" applyFont="1" applyFill="1" applyBorder="1" applyProtection="1"/>
    <xf numFmtId="168" fontId="5" fillId="3" borderId="13" xfId="0" applyNumberFormat="1" applyFont="1" applyFill="1" applyBorder="1" applyAlignment="1" applyProtection="1">
      <alignment horizontal="center"/>
    </xf>
    <xf numFmtId="168" fontId="5" fillId="5" borderId="13" xfId="0" applyNumberFormat="1" applyFont="1" applyFill="1" applyBorder="1" applyAlignment="1" applyProtection="1">
      <alignment horizontal="center"/>
    </xf>
    <xf numFmtId="168" fontId="4" fillId="3" borderId="0" xfId="0" applyNumberFormat="1" applyFont="1" applyFill="1" applyBorder="1" applyProtection="1"/>
    <xf numFmtId="168" fontId="67" fillId="3" borderId="0" xfId="0" applyNumberFormat="1" applyFont="1" applyFill="1" applyBorder="1" applyProtection="1"/>
    <xf numFmtId="168" fontId="70" fillId="3" borderId="0" xfId="0" applyNumberFormat="1" applyFont="1" applyFill="1" applyBorder="1" applyProtection="1"/>
    <xf numFmtId="168" fontId="4" fillId="4" borderId="13" xfId="0" applyNumberFormat="1" applyFont="1" applyFill="1" applyBorder="1" applyAlignment="1" applyProtection="1">
      <alignment horizontal="center"/>
    </xf>
    <xf numFmtId="171" fontId="4" fillId="3" borderId="13" xfId="0" applyNumberFormat="1" applyFont="1" applyFill="1" applyBorder="1" applyAlignment="1" applyProtection="1"/>
    <xf numFmtId="171" fontId="4" fillId="3" borderId="0" xfId="0" applyNumberFormat="1" applyFont="1" applyFill="1" applyBorder="1" applyAlignment="1" applyProtection="1"/>
    <xf numFmtId="0" fontId="7" fillId="3" borderId="13" xfId="0" applyFont="1" applyFill="1" applyBorder="1" applyProtection="1"/>
    <xf numFmtId="0" fontId="71" fillId="3" borderId="13" xfId="0" applyFont="1" applyFill="1" applyBorder="1" applyProtection="1"/>
    <xf numFmtId="0" fontId="23" fillId="3" borderId="13" xfId="0" applyFont="1" applyFill="1" applyBorder="1" applyProtection="1"/>
    <xf numFmtId="169" fontId="7" fillId="3" borderId="13" xfId="0" applyNumberFormat="1" applyFont="1" applyFill="1" applyBorder="1" applyProtection="1"/>
    <xf numFmtId="0" fontId="5" fillId="2" borderId="8" xfId="0" applyFont="1" applyFill="1" applyBorder="1" applyProtection="1"/>
    <xf numFmtId="0" fontId="5" fillId="2" borderId="1" xfId="0" applyFont="1" applyFill="1" applyBorder="1" applyProtection="1"/>
    <xf numFmtId="0" fontId="5" fillId="2" borderId="3" xfId="0" applyFont="1" applyFill="1" applyBorder="1" applyProtection="1"/>
    <xf numFmtId="0" fontId="71" fillId="3" borderId="13" xfId="0" applyFont="1" applyFill="1" applyBorder="1" applyAlignment="1" applyProtection="1">
      <alignment horizontal="left" indent="1"/>
    </xf>
    <xf numFmtId="169" fontId="23" fillId="3" borderId="13" xfId="0" applyNumberFormat="1" applyFont="1" applyFill="1" applyBorder="1" applyAlignment="1" applyProtection="1">
      <alignment horizontal="left" indent="1"/>
    </xf>
    <xf numFmtId="169" fontId="71" fillId="3" borderId="13" xfId="0" applyNumberFormat="1" applyFont="1" applyFill="1" applyBorder="1" applyAlignment="1" applyProtection="1">
      <alignment horizontal="left" indent="1"/>
    </xf>
    <xf numFmtId="0" fontId="74" fillId="3" borderId="0" xfId="0" applyFont="1" applyFill="1" applyBorder="1" applyAlignment="1" applyProtection="1">
      <alignment horizontal="left" indent="1"/>
    </xf>
    <xf numFmtId="169" fontId="23" fillId="3" borderId="0" xfId="0" applyNumberFormat="1" applyFont="1" applyFill="1" applyBorder="1" applyAlignment="1" applyProtection="1">
      <alignment horizontal="left" indent="1"/>
    </xf>
    <xf numFmtId="169" fontId="74" fillId="3" borderId="0" xfId="0" applyNumberFormat="1" applyFont="1" applyFill="1" applyBorder="1" applyAlignment="1" applyProtection="1">
      <alignment horizontal="left" indent="1"/>
    </xf>
    <xf numFmtId="169" fontId="7" fillId="3" borderId="0" xfId="0" applyNumberFormat="1" applyFont="1" applyFill="1" applyBorder="1" applyAlignment="1" applyProtection="1">
      <alignment horizontal="left" indent="1"/>
    </xf>
    <xf numFmtId="0" fontId="75" fillId="3" borderId="0" xfId="0" applyFont="1" applyFill="1" applyBorder="1" applyProtection="1"/>
    <xf numFmtId="9" fontId="39" fillId="5" borderId="13" xfId="0" applyNumberFormat="1" applyFont="1" applyFill="1" applyBorder="1" applyAlignment="1" applyProtection="1">
      <alignment horizontal="center"/>
    </xf>
    <xf numFmtId="44" fontId="38" fillId="5" borderId="13" xfId="0" applyNumberFormat="1" applyFont="1" applyFill="1" applyBorder="1" applyAlignment="1" applyProtection="1">
      <alignment horizontal="center"/>
    </xf>
    <xf numFmtId="164" fontId="38" fillId="5" borderId="13" xfId="0" applyNumberFormat="1" applyFont="1" applyFill="1" applyBorder="1" applyAlignment="1" applyProtection="1">
      <alignment horizontal="center"/>
    </xf>
    <xf numFmtId="164" fontId="39" fillId="5" borderId="13" xfId="0" applyNumberFormat="1" applyFont="1" applyFill="1" applyBorder="1" applyAlignment="1" applyProtection="1">
      <alignment horizontal="center"/>
    </xf>
    <xf numFmtId="0" fontId="39" fillId="5" borderId="13" xfId="0" applyFont="1" applyFill="1" applyBorder="1" applyAlignment="1" applyProtection="1">
      <alignment horizontal="center"/>
    </xf>
    <xf numFmtId="164" fontId="39" fillId="4" borderId="13" xfId="0" applyNumberFormat="1" applyFont="1" applyFill="1" applyBorder="1" applyAlignment="1" applyProtection="1">
      <alignment horizontal="center"/>
    </xf>
    <xf numFmtId="164" fontId="38" fillId="5" borderId="13" xfId="0" applyNumberFormat="1" applyFont="1" applyFill="1" applyBorder="1" applyProtection="1"/>
    <xf numFmtId="164" fontId="39" fillId="2" borderId="0" xfId="0" applyNumberFormat="1" applyFont="1" applyFill="1" applyBorder="1" applyProtection="1"/>
    <xf numFmtId="0" fontId="6" fillId="3" borderId="28" xfId="0" applyFont="1" applyFill="1" applyBorder="1" applyProtection="1"/>
    <xf numFmtId="164" fontId="6" fillId="3" borderId="28" xfId="0" applyNumberFormat="1" applyFont="1" applyFill="1" applyBorder="1" applyAlignment="1" applyProtection="1">
      <alignment horizontal="center"/>
    </xf>
    <xf numFmtId="164" fontId="6" fillId="3" borderId="24" xfId="0" applyNumberFormat="1" applyFont="1" applyFill="1" applyBorder="1" applyAlignment="1" applyProtection="1">
      <alignment horizontal="center"/>
    </xf>
    <xf numFmtId="0" fontId="6" fillId="3" borderId="24" xfId="0" applyFont="1" applyFill="1" applyBorder="1" applyProtection="1"/>
    <xf numFmtId="0" fontId="76" fillId="3" borderId="0" xfId="0" applyFont="1" applyFill="1" applyAlignment="1" applyProtection="1">
      <alignment horizontal="left"/>
    </xf>
    <xf numFmtId="0" fontId="24" fillId="2" borderId="2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77" fillId="2" borderId="0" xfId="0" applyFont="1" applyFill="1" applyBorder="1" applyAlignment="1" applyProtection="1">
      <alignment horizontal="left"/>
    </xf>
    <xf numFmtId="0" fontId="24" fillId="3" borderId="9" xfId="0" applyFont="1" applyFill="1" applyBorder="1" applyAlignment="1" applyProtection="1">
      <alignment horizontal="left"/>
    </xf>
    <xf numFmtId="0" fontId="24" fillId="3" borderId="12" xfId="0" applyFont="1" applyFill="1" applyBorder="1" applyAlignment="1" applyProtection="1">
      <alignment horizontal="left"/>
    </xf>
    <xf numFmtId="0" fontId="34" fillId="3" borderId="12" xfId="0" applyFont="1" applyFill="1" applyBorder="1" applyAlignment="1" applyProtection="1">
      <alignment horizontal="left"/>
    </xf>
    <xf numFmtId="0" fontId="24" fillId="3" borderId="15" xfId="0" applyFont="1" applyFill="1" applyBorder="1" applyAlignment="1" applyProtection="1">
      <alignment horizontal="left"/>
    </xf>
    <xf numFmtId="0" fontId="24" fillId="3" borderId="0" xfId="0" applyFont="1" applyFill="1" applyBorder="1" applyAlignment="1" applyProtection="1">
      <alignment horizontal="left"/>
    </xf>
    <xf numFmtId="0" fontId="24" fillId="2" borderId="7" xfId="0" applyFont="1" applyFill="1" applyBorder="1" applyAlignment="1" applyProtection="1">
      <alignment horizontal="left"/>
    </xf>
    <xf numFmtId="164" fontId="6" fillId="2" borderId="0" xfId="0" applyNumberFormat="1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6" fillId="2" borderId="30" xfId="0" applyFont="1" applyFill="1" applyBorder="1" applyProtection="1"/>
    <xf numFmtId="164" fontId="6" fillId="2" borderId="30" xfId="0" applyNumberFormat="1" applyFont="1" applyFill="1" applyBorder="1" applyAlignment="1" applyProtection="1">
      <alignment horizontal="center"/>
    </xf>
    <xf numFmtId="0" fontId="38" fillId="3" borderId="28" xfId="0" applyFont="1" applyFill="1" applyBorder="1" applyProtection="1"/>
    <xf numFmtId="0" fontId="46" fillId="3" borderId="28" xfId="0" applyFont="1" applyFill="1" applyBorder="1" applyProtection="1"/>
    <xf numFmtId="0" fontId="38" fillId="3" borderId="28" xfId="0" applyFont="1" applyFill="1" applyBorder="1" applyAlignment="1" applyProtection="1">
      <alignment horizontal="center"/>
    </xf>
    <xf numFmtId="0" fontId="46" fillId="3" borderId="28" xfId="0" applyFont="1" applyFill="1" applyBorder="1" applyAlignment="1" applyProtection="1">
      <alignment horizontal="center"/>
    </xf>
    <xf numFmtId="0" fontId="4" fillId="3" borderId="31" xfId="0" applyFont="1" applyFill="1" applyBorder="1" applyProtection="1"/>
    <xf numFmtId="0" fontId="46" fillId="3" borderId="18" xfId="0" applyFont="1" applyFill="1" applyBorder="1" applyProtection="1"/>
    <xf numFmtId="0" fontId="38" fillId="3" borderId="18" xfId="0" applyFont="1" applyFill="1" applyBorder="1" applyAlignment="1" applyProtection="1">
      <alignment horizontal="center"/>
    </xf>
    <xf numFmtId="0" fontId="46" fillId="3" borderId="18" xfId="0" applyFont="1" applyFill="1" applyBorder="1" applyAlignment="1" applyProtection="1">
      <alignment horizontal="center"/>
    </xf>
    <xf numFmtId="0" fontId="39" fillId="3" borderId="16" xfId="0" applyFont="1" applyFill="1" applyBorder="1" applyAlignment="1" applyProtection="1">
      <alignment horizontal="left"/>
    </xf>
    <xf numFmtId="0" fontId="73" fillId="3" borderId="16" xfId="0" applyFont="1" applyFill="1" applyBorder="1" applyProtection="1"/>
    <xf numFmtId="169" fontId="39" fillId="4" borderId="13" xfId="2" applyNumberFormat="1" applyFont="1" applyFill="1" applyBorder="1" applyProtection="1"/>
    <xf numFmtId="0" fontId="26" fillId="3" borderId="13" xfId="0" applyFont="1" applyFill="1" applyBorder="1" applyAlignment="1" applyProtection="1">
      <alignment horizontal="left" indent="1"/>
    </xf>
    <xf numFmtId="169" fontId="34" fillId="3" borderId="13" xfId="0" applyNumberFormat="1" applyFont="1" applyFill="1" applyBorder="1" applyAlignment="1" applyProtection="1">
      <alignment horizontal="left" indent="1"/>
    </xf>
    <xf numFmtId="0" fontId="34" fillId="3" borderId="13" xfId="0" applyFont="1" applyFill="1" applyBorder="1" applyAlignment="1" applyProtection="1">
      <alignment horizontal="left"/>
    </xf>
    <xf numFmtId="0" fontId="78" fillId="3" borderId="0" xfId="0" applyFont="1" applyFill="1" applyBorder="1" applyAlignment="1" applyProtection="1">
      <alignment horizontal="left"/>
    </xf>
    <xf numFmtId="0" fontId="5" fillId="3" borderId="16" xfId="0" applyFont="1" applyFill="1" applyBorder="1" applyProtection="1"/>
    <xf numFmtId="44" fontId="38" fillId="3" borderId="13" xfId="0" applyNumberFormat="1" applyFont="1" applyFill="1" applyBorder="1" applyAlignment="1" applyProtection="1">
      <alignment horizontal="center"/>
    </xf>
    <xf numFmtId="42" fontId="38" fillId="3" borderId="13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172" fontId="51" fillId="3" borderId="13" xfId="0" applyNumberFormat="1" applyFont="1" applyFill="1" applyBorder="1" applyAlignment="1" applyProtection="1">
      <alignment horizontal="center"/>
    </xf>
    <xf numFmtId="169" fontId="38" fillId="3" borderId="13" xfId="0" applyNumberFormat="1" applyFont="1" applyFill="1" applyBorder="1" applyAlignment="1" applyProtection="1">
      <alignment horizontal="center"/>
    </xf>
    <xf numFmtId="169" fontId="57" fillId="3" borderId="12" xfId="0" applyNumberFormat="1" applyFont="1" applyFill="1" applyBorder="1" applyAlignment="1" applyProtection="1">
      <alignment horizontal="center"/>
    </xf>
    <xf numFmtId="0" fontId="38" fillId="3" borderId="12" xfId="0" applyFont="1" applyFill="1" applyBorder="1" applyAlignment="1" applyProtection="1">
      <alignment horizontal="center"/>
    </xf>
    <xf numFmtId="42" fontId="38" fillId="3" borderId="0" xfId="0" applyNumberFormat="1" applyFont="1" applyFill="1" applyBorder="1" applyAlignment="1" applyProtection="1">
      <alignment horizontal="center"/>
    </xf>
    <xf numFmtId="0" fontId="38" fillId="3" borderId="11" xfId="0" applyFont="1" applyFill="1" applyBorder="1" applyProtection="1"/>
    <xf numFmtId="0" fontId="39" fillId="3" borderId="11" xfId="0" applyFont="1" applyFill="1" applyBorder="1" applyProtection="1"/>
  </cellXfs>
  <cellStyles count="5">
    <cellStyle name="Euro" xfId="4"/>
    <cellStyle name="Hyperlink" xfId="1" builtinId="8"/>
    <cellStyle name="Procent" xfId="3" builtinId="5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99"/>
      <color rgb="FF99CCFF"/>
      <color rgb="FFCC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K131"/>
  <sheetViews>
    <sheetView zoomScale="85" zoomScaleNormal="85" zoomScaleSheetLayoutView="75" workbookViewId="0">
      <selection activeCell="C5" sqref="C5"/>
    </sheetView>
  </sheetViews>
  <sheetFormatPr defaultColWidth="16.42578125" defaultRowHeight="15.75" x14ac:dyDescent="0.25"/>
  <cols>
    <col min="1" max="1" width="3.85546875" style="104" customWidth="1"/>
    <col min="2" max="2" width="2.85546875" style="104" customWidth="1"/>
    <col min="3" max="8" width="16.42578125" style="104"/>
    <col min="9" max="9" width="19.85546875" style="104" customWidth="1"/>
    <col min="10" max="16384" width="16.42578125" style="104"/>
  </cols>
  <sheetData>
    <row r="2" spans="2:9" x14ac:dyDescent="0.25">
      <c r="B2" s="103"/>
      <c r="C2" s="103"/>
      <c r="D2" s="103"/>
      <c r="E2" s="103"/>
      <c r="F2" s="103"/>
      <c r="G2" s="103"/>
      <c r="H2" s="103"/>
      <c r="I2" s="103"/>
    </row>
    <row r="3" spans="2:9" x14ac:dyDescent="0.25">
      <c r="B3" s="103"/>
      <c r="C3" s="103"/>
      <c r="D3" s="103"/>
      <c r="E3" s="103"/>
      <c r="F3" s="103"/>
      <c r="G3" s="103"/>
      <c r="H3" s="103"/>
      <c r="I3" s="103"/>
    </row>
    <row r="4" spans="2:9" ht="18.75" x14ac:dyDescent="0.3">
      <c r="B4" s="103"/>
      <c r="C4" s="222" t="str">
        <f xml:space="preserve"> "Faciliteitenregeling samenvoeging respectievelijk opheffing basisscholen "&amp;tab!E2</f>
        <v>Faciliteitenregeling samenvoeging respectievelijk opheffing basisscholen 2019/2020</v>
      </c>
      <c r="D4" s="103"/>
      <c r="E4" s="103"/>
      <c r="F4" s="103"/>
      <c r="G4" s="103"/>
      <c r="H4" s="103"/>
      <c r="I4" s="103"/>
    </row>
    <row r="5" spans="2:9" x14ac:dyDescent="0.25">
      <c r="B5" s="103"/>
      <c r="C5" s="103" t="s">
        <v>313</v>
      </c>
      <c r="D5" s="103"/>
      <c r="E5" s="103"/>
      <c r="F5" s="103"/>
      <c r="G5" s="103"/>
      <c r="H5" s="103"/>
      <c r="I5" s="103"/>
    </row>
    <row r="6" spans="2:9" s="107" customFormat="1" ht="15" x14ac:dyDescent="0.25">
      <c r="B6" s="106"/>
      <c r="C6" s="105"/>
      <c r="D6" s="106"/>
      <c r="E6" s="106"/>
      <c r="F6" s="106"/>
      <c r="G6" s="106"/>
      <c r="H6" s="106"/>
      <c r="I6" s="106"/>
    </row>
    <row r="7" spans="2:9" s="107" customFormat="1" ht="15" hidden="1" x14ac:dyDescent="0.25">
      <c r="B7" s="106"/>
      <c r="C7" s="105" t="s">
        <v>290</v>
      </c>
      <c r="D7" s="106"/>
      <c r="E7" s="106"/>
      <c r="F7" s="106"/>
      <c r="G7" s="106"/>
      <c r="H7" s="106"/>
      <c r="I7" s="106"/>
    </row>
    <row r="8" spans="2:9" s="107" customFormat="1" ht="15" hidden="1" x14ac:dyDescent="0.25">
      <c r="B8" s="106"/>
      <c r="C8" s="106"/>
      <c r="D8" s="106"/>
      <c r="E8" s="106"/>
      <c r="F8" s="106"/>
      <c r="G8" s="106"/>
      <c r="H8" s="106"/>
      <c r="I8" s="106"/>
    </row>
    <row r="9" spans="2:9" s="107" customFormat="1" ht="15" hidden="1" x14ac:dyDescent="0.25">
      <c r="B9" s="106"/>
      <c r="C9" s="105"/>
      <c r="D9" s="106"/>
      <c r="E9" s="106"/>
      <c r="F9" s="106"/>
      <c r="G9" s="106"/>
      <c r="H9" s="106"/>
      <c r="I9" s="106"/>
    </row>
    <row r="10" spans="2:9" s="107" customFormat="1" ht="15" hidden="1" x14ac:dyDescent="0.25">
      <c r="B10" s="106"/>
      <c r="C10" s="106"/>
      <c r="D10" s="106"/>
      <c r="E10" s="106"/>
      <c r="F10" s="106"/>
      <c r="G10" s="106"/>
      <c r="H10" s="106"/>
      <c r="I10" s="106"/>
    </row>
    <row r="11" spans="2:9" s="107" customFormat="1" ht="15" x14ac:dyDescent="0.25">
      <c r="B11" s="106"/>
      <c r="C11" s="106"/>
      <c r="D11" s="106"/>
      <c r="E11" s="106"/>
      <c r="F11" s="106"/>
      <c r="G11" s="106"/>
      <c r="H11" s="106"/>
      <c r="I11" s="106"/>
    </row>
    <row r="12" spans="2:9" s="107" customFormat="1" ht="15" x14ac:dyDescent="0.25">
      <c r="B12" s="106"/>
      <c r="C12" s="105" t="s">
        <v>35</v>
      </c>
      <c r="D12" s="106"/>
      <c r="E12" s="106"/>
      <c r="F12" s="106"/>
      <c r="G12" s="106"/>
      <c r="H12" s="106"/>
      <c r="I12" s="106"/>
    </row>
    <row r="13" spans="2:9" s="107" customFormat="1" ht="15" x14ac:dyDescent="0.25">
      <c r="B13" s="106"/>
      <c r="C13" s="106" t="s">
        <v>160</v>
      </c>
      <c r="D13" s="106"/>
      <c r="E13" s="106"/>
      <c r="F13" s="106"/>
      <c r="G13" s="106"/>
      <c r="H13" s="106"/>
      <c r="I13" s="106"/>
    </row>
    <row r="14" spans="2:9" s="107" customFormat="1" ht="15" x14ac:dyDescent="0.25">
      <c r="B14" s="106"/>
      <c r="C14" s="106" t="s">
        <v>219</v>
      </c>
      <c r="D14" s="106"/>
      <c r="E14" s="106"/>
      <c r="F14" s="106"/>
      <c r="G14" s="106"/>
      <c r="H14" s="106"/>
      <c r="I14" s="106"/>
    </row>
    <row r="15" spans="2:9" s="107" customFormat="1" ht="15" x14ac:dyDescent="0.25">
      <c r="B15" s="106"/>
      <c r="C15" s="106" t="s">
        <v>34</v>
      </c>
      <c r="D15" s="106"/>
      <c r="E15" s="106"/>
      <c r="F15" s="106"/>
      <c r="G15" s="106"/>
      <c r="H15" s="106"/>
      <c r="I15" s="106"/>
    </row>
    <row r="16" spans="2:9" s="107" customFormat="1" ht="15" x14ac:dyDescent="0.25">
      <c r="B16" s="106"/>
      <c r="C16" s="105"/>
      <c r="D16" s="106"/>
      <c r="E16" s="106"/>
      <c r="F16" s="106"/>
      <c r="G16" s="106"/>
      <c r="H16" s="106"/>
      <c r="I16" s="106"/>
    </row>
    <row r="17" spans="2:11" s="107" customFormat="1" ht="15" x14ac:dyDescent="0.25">
      <c r="B17" s="106"/>
      <c r="C17" s="106" t="s">
        <v>253</v>
      </c>
      <c r="D17" s="106"/>
      <c r="E17" s="106"/>
      <c r="F17" s="106"/>
      <c r="G17" s="106"/>
      <c r="H17" s="106"/>
      <c r="I17" s="106"/>
    </row>
    <row r="18" spans="2:11" s="107" customFormat="1" ht="15" x14ac:dyDescent="0.25">
      <c r="B18" s="106"/>
      <c r="C18" s="106" t="s">
        <v>254</v>
      </c>
      <c r="D18" s="106"/>
      <c r="E18" s="106"/>
      <c r="F18" s="106"/>
      <c r="G18" s="106"/>
      <c r="H18" s="106"/>
      <c r="I18" s="106"/>
    </row>
    <row r="19" spans="2:11" s="107" customFormat="1" ht="15" x14ac:dyDescent="0.25">
      <c r="B19" s="106"/>
      <c r="C19" s="106" t="s">
        <v>291</v>
      </c>
      <c r="D19" s="106"/>
      <c r="E19" s="106"/>
      <c r="F19" s="106"/>
      <c r="G19" s="106"/>
      <c r="H19" s="106"/>
      <c r="I19" s="106"/>
    </row>
    <row r="20" spans="2:11" s="107" customFormat="1" ht="15" x14ac:dyDescent="0.25">
      <c r="B20" s="106"/>
      <c r="C20" s="106" t="s">
        <v>292</v>
      </c>
      <c r="D20" s="106"/>
      <c r="E20" s="106"/>
      <c r="F20" s="106"/>
      <c r="G20" s="106"/>
      <c r="H20" s="106"/>
      <c r="I20" s="106"/>
    </row>
    <row r="21" spans="2:11" s="107" customFormat="1" ht="15" x14ac:dyDescent="0.25">
      <c r="B21" s="106"/>
      <c r="C21" s="106" t="s">
        <v>293</v>
      </c>
      <c r="D21" s="106"/>
      <c r="E21" s="106"/>
      <c r="F21" s="106"/>
      <c r="G21" s="106"/>
      <c r="H21" s="106"/>
      <c r="I21" s="106"/>
    </row>
    <row r="22" spans="2:11" s="107" customFormat="1" ht="15" x14ac:dyDescent="0.25">
      <c r="B22" s="106"/>
      <c r="C22" s="106" t="s">
        <v>294</v>
      </c>
      <c r="D22" s="106"/>
      <c r="E22" s="106"/>
      <c r="F22" s="106"/>
      <c r="G22" s="106"/>
      <c r="H22" s="106"/>
      <c r="I22" s="106"/>
    </row>
    <row r="23" spans="2:11" s="107" customFormat="1" ht="15" x14ac:dyDescent="0.25">
      <c r="B23" s="106"/>
      <c r="C23" s="106"/>
      <c r="D23" s="106"/>
      <c r="E23" s="106"/>
      <c r="F23" s="106"/>
      <c r="G23" s="106"/>
      <c r="H23" s="106"/>
      <c r="I23" s="106"/>
    </row>
    <row r="24" spans="2:11" s="107" customFormat="1" ht="15" x14ac:dyDescent="0.25">
      <c r="B24" s="106"/>
      <c r="C24" s="106" t="s">
        <v>257</v>
      </c>
      <c r="D24" s="106"/>
      <c r="E24" s="106"/>
      <c r="F24" s="106"/>
      <c r="G24" s="106"/>
      <c r="H24" s="106"/>
      <c r="I24" s="106"/>
    </row>
    <row r="25" spans="2:11" s="107" customFormat="1" ht="15" x14ac:dyDescent="0.25">
      <c r="B25" s="106"/>
      <c r="C25" s="106" t="s">
        <v>154</v>
      </c>
      <c r="D25" s="106"/>
      <c r="E25" s="106"/>
      <c r="F25" s="106"/>
      <c r="G25" s="106"/>
      <c r="H25" s="106"/>
      <c r="I25" s="106"/>
      <c r="K25" s="109"/>
    </row>
    <row r="26" spans="2:11" s="107" customFormat="1" ht="15" x14ac:dyDescent="0.25">
      <c r="B26" s="106"/>
      <c r="C26" s="106" t="s">
        <v>21</v>
      </c>
      <c r="D26" s="106"/>
      <c r="E26" s="106"/>
      <c r="F26" s="106"/>
      <c r="G26" s="106"/>
      <c r="H26" s="106"/>
      <c r="I26" s="106"/>
    </row>
    <row r="27" spans="2:11" s="107" customFormat="1" ht="15" x14ac:dyDescent="0.25">
      <c r="B27" s="106"/>
      <c r="C27" s="106" t="s">
        <v>155</v>
      </c>
      <c r="D27" s="106"/>
      <c r="E27" s="106"/>
      <c r="F27" s="106"/>
      <c r="G27" s="106"/>
      <c r="H27" s="106"/>
      <c r="I27" s="106"/>
    </row>
    <row r="28" spans="2:11" s="107" customFormat="1" ht="15" x14ac:dyDescent="0.25">
      <c r="B28" s="106"/>
      <c r="C28" s="106" t="s">
        <v>156</v>
      </c>
      <c r="D28" s="106"/>
      <c r="E28" s="106"/>
      <c r="F28" s="106"/>
      <c r="G28" s="106"/>
      <c r="H28" s="106"/>
      <c r="I28" s="106"/>
    </row>
    <row r="29" spans="2:11" s="107" customFormat="1" ht="15" x14ac:dyDescent="0.25">
      <c r="B29" s="106"/>
      <c r="C29" s="106" t="s">
        <v>189</v>
      </c>
      <c r="D29" s="106"/>
      <c r="E29" s="106"/>
      <c r="F29" s="106"/>
      <c r="G29" s="106"/>
      <c r="H29" s="106"/>
      <c r="I29" s="106"/>
    </row>
    <row r="30" spans="2:11" s="107" customFormat="1" ht="15" x14ac:dyDescent="0.25">
      <c r="B30" s="106"/>
      <c r="C30" s="106" t="s">
        <v>191</v>
      </c>
      <c r="D30" s="106"/>
      <c r="E30" s="106"/>
      <c r="F30" s="106"/>
      <c r="G30" s="106"/>
      <c r="H30" s="106"/>
      <c r="I30" s="106"/>
    </row>
    <row r="31" spans="2:11" s="107" customFormat="1" ht="15" x14ac:dyDescent="0.25">
      <c r="B31" s="106"/>
      <c r="C31" s="106" t="s">
        <v>190</v>
      </c>
      <c r="D31" s="106"/>
      <c r="E31" s="106"/>
      <c r="F31" s="106"/>
      <c r="G31" s="106"/>
      <c r="H31" s="106"/>
      <c r="I31" s="106"/>
    </row>
    <row r="32" spans="2:11" s="107" customFormat="1" ht="15" x14ac:dyDescent="0.25">
      <c r="B32" s="106"/>
      <c r="C32" s="106"/>
      <c r="D32" s="106"/>
      <c r="E32" s="106"/>
      <c r="F32" s="106"/>
      <c r="G32" s="106"/>
      <c r="H32" s="106"/>
      <c r="I32" s="106"/>
    </row>
    <row r="33" spans="2:9" s="107" customFormat="1" ht="15" x14ac:dyDescent="0.25">
      <c r="B33" s="106"/>
      <c r="C33" s="106" t="s">
        <v>192</v>
      </c>
      <c r="D33" s="106"/>
      <c r="E33" s="106"/>
      <c r="F33" s="106"/>
      <c r="G33" s="106"/>
      <c r="H33" s="106"/>
      <c r="I33" s="106"/>
    </row>
    <row r="34" spans="2:9" s="107" customFormat="1" ht="15" x14ac:dyDescent="0.25">
      <c r="B34" s="106"/>
      <c r="C34" s="106" t="s">
        <v>222</v>
      </c>
      <c r="D34" s="106"/>
      <c r="E34" s="106"/>
      <c r="F34" s="106"/>
      <c r="G34" s="106"/>
      <c r="H34" s="106"/>
      <c r="I34" s="106"/>
    </row>
    <row r="35" spans="2:9" s="107" customFormat="1" ht="15" x14ac:dyDescent="0.25">
      <c r="B35" s="106"/>
      <c r="C35" s="106" t="s">
        <v>223</v>
      </c>
      <c r="D35" s="106"/>
      <c r="E35" s="106"/>
      <c r="F35" s="106"/>
      <c r="G35" s="106"/>
      <c r="H35" s="106"/>
      <c r="I35" s="106"/>
    </row>
    <row r="36" spans="2:9" s="107" customFormat="1" ht="15" x14ac:dyDescent="0.25">
      <c r="B36" s="106"/>
      <c r="C36" s="106" t="s">
        <v>224</v>
      </c>
      <c r="D36" s="106"/>
      <c r="E36" s="106"/>
      <c r="F36" s="106"/>
      <c r="G36" s="106"/>
      <c r="H36" s="106"/>
      <c r="I36" s="106"/>
    </row>
    <row r="37" spans="2:9" s="107" customFormat="1" ht="15" x14ac:dyDescent="0.25">
      <c r="B37" s="106"/>
      <c r="C37" s="106" t="s">
        <v>314</v>
      </c>
      <c r="D37" s="106"/>
      <c r="E37" s="106"/>
      <c r="F37" s="106"/>
      <c r="G37" s="106"/>
      <c r="H37" s="106"/>
      <c r="I37" s="106"/>
    </row>
    <row r="38" spans="2:9" s="107" customFormat="1" ht="15" x14ac:dyDescent="0.25">
      <c r="B38" s="106"/>
      <c r="C38" s="106" t="s">
        <v>184</v>
      </c>
      <c r="D38" s="106"/>
      <c r="E38" s="106"/>
      <c r="F38" s="106"/>
      <c r="G38" s="106"/>
      <c r="H38" s="106"/>
      <c r="I38" s="106"/>
    </row>
    <row r="39" spans="2:9" s="107" customFormat="1" ht="15" x14ac:dyDescent="0.25">
      <c r="B39" s="106"/>
      <c r="C39" s="106" t="s">
        <v>225</v>
      </c>
      <c r="D39" s="106"/>
      <c r="E39" s="106"/>
      <c r="F39" s="106"/>
      <c r="G39" s="106"/>
      <c r="H39" s="106"/>
      <c r="I39" s="106"/>
    </row>
    <row r="40" spans="2:9" s="107" customFormat="1" ht="15" x14ac:dyDescent="0.25">
      <c r="B40" s="106"/>
      <c r="C40" s="106" t="s">
        <v>226</v>
      </c>
      <c r="D40" s="106"/>
      <c r="E40" s="106"/>
      <c r="F40" s="106"/>
      <c r="G40" s="106"/>
      <c r="H40" s="106"/>
      <c r="I40" s="106"/>
    </row>
    <row r="41" spans="2:9" s="107" customFormat="1" ht="15" x14ac:dyDescent="0.25">
      <c r="B41" s="106"/>
      <c r="C41" s="106" t="s">
        <v>295</v>
      </c>
      <c r="D41" s="106"/>
      <c r="E41" s="106"/>
      <c r="F41" s="106"/>
      <c r="G41" s="106"/>
      <c r="H41" s="106"/>
      <c r="I41" s="106"/>
    </row>
    <row r="42" spans="2:9" s="107" customFormat="1" ht="15" x14ac:dyDescent="0.25">
      <c r="B42" s="106"/>
      <c r="C42" s="106" t="s">
        <v>227</v>
      </c>
      <c r="D42" s="106"/>
      <c r="E42" s="106"/>
      <c r="F42" s="106"/>
      <c r="G42" s="106"/>
      <c r="H42" s="106"/>
      <c r="I42" s="106"/>
    </row>
    <row r="43" spans="2:9" s="107" customFormat="1" ht="15" x14ac:dyDescent="0.25">
      <c r="B43" s="106"/>
      <c r="C43" s="106" t="s">
        <v>228</v>
      </c>
      <c r="D43" s="106"/>
      <c r="E43" s="106"/>
      <c r="F43" s="106"/>
      <c r="G43" s="106"/>
      <c r="H43" s="106"/>
      <c r="I43" s="106"/>
    </row>
    <row r="44" spans="2:9" s="107" customFormat="1" ht="15" x14ac:dyDescent="0.25">
      <c r="B44" s="106"/>
      <c r="C44" s="106" t="s">
        <v>229</v>
      </c>
      <c r="D44" s="106"/>
      <c r="E44" s="106"/>
      <c r="F44" s="106"/>
      <c r="G44" s="106"/>
      <c r="H44" s="106"/>
      <c r="I44" s="106"/>
    </row>
    <row r="45" spans="2:9" s="107" customFormat="1" ht="15" x14ac:dyDescent="0.25">
      <c r="B45" s="106"/>
      <c r="C45" s="245" t="s">
        <v>230</v>
      </c>
      <c r="D45" s="106"/>
      <c r="E45" s="106"/>
      <c r="F45" s="106"/>
      <c r="G45" s="106"/>
      <c r="H45" s="106"/>
      <c r="I45" s="106"/>
    </row>
    <row r="46" spans="2:9" s="107" customFormat="1" ht="15" x14ac:dyDescent="0.25">
      <c r="B46" s="106"/>
      <c r="C46" s="245" t="s">
        <v>300</v>
      </c>
      <c r="D46" s="106"/>
      <c r="E46" s="106"/>
      <c r="F46" s="106"/>
      <c r="G46" s="106"/>
      <c r="H46" s="106"/>
      <c r="I46" s="106"/>
    </row>
    <row r="47" spans="2:9" s="107" customFormat="1" ht="15" x14ac:dyDescent="0.25">
      <c r="B47" s="106"/>
      <c r="C47" s="245"/>
      <c r="D47" s="106"/>
      <c r="E47" s="106"/>
      <c r="F47" s="106"/>
      <c r="G47" s="106"/>
      <c r="H47" s="106"/>
      <c r="I47" s="106"/>
    </row>
    <row r="48" spans="2:9" s="107" customFormat="1" ht="15" x14ac:dyDescent="0.25">
      <c r="B48" s="106"/>
      <c r="C48" s="245" t="s">
        <v>296</v>
      </c>
      <c r="D48" s="106"/>
      <c r="E48" s="106"/>
      <c r="F48" s="106"/>
      <c r="G48" s="106"/>
      <c r="H48" s="106"/>
      <c r="I48" s="106"/>
    </row>
    <row r="49" spans="2:9" s="107" customFormat="1" ht="15" x14ac:dyDescent="0.25">
      <c r="B49" s="106"/>
      <c r="C49" s="245" t="s">
        <v>297</v>
      </c>
      <c r="D49" s="106"/>
      <c r="E49" s="106"/>
      <c r="F49" s="106"/>
      <c r="G49" s="106"/>
      <c r="H49" s="106"/>
      <c r="I49" s="106"/>
    </row>
    <row r="50" spans="2:9" s="107" customFormat="1" ht="15" x14ac:dyDescent="0.25">
      <c r="B50" s="106"/>
      <c r="C50" s="245" t="s">
        <v>298</v>
      </c>
      <c r="D50" s="106"/>
      <c r="E50" s="106"/>
      <c r="F50" s="106"/>
      <c r="G50" s="106"/>
      <c r="H50" s="106"/>
      <c r="I50" s="106"/>
    </row>
    <row r="51" spans="2:9" s="107" customFormat="1" ht="15" x14ac:dyDescent="0.25">
      <c r="B51" s="106"/>
      <c r="C51" s="245"/>
      <c r="D51" s="106"/>
      <c r="E51" s="106"/>
      <c r="F51" s="106"/>
      <c r="G51" s="106"/>
      <c r="H51" s="106"/>
      <c r="I51" s="106"/>
    </row>
    <row r="52" spans="2:9" s="107" customFormat="1" ht="15" x14ac:dyDescent="0.25">
      <c r="B52" s="106"/>
      <c r="C52" s="106" t="s">
        <v>202</v>
      </c>
      <c r="D52" s="106"/>
      <c r="E52" s="106"/>
      <c r="F52" s="106"/>
      <c r="G52" s="106"/>
      <c r="H52" s="106"/>
      <c r="I52" s="106"/>
    </row>
    <row r="53" spans="2:9" s="107" customFormat="1" ht="15" x14ac:dyDescent="0.25">
      <c r="B53" s="106"/>
      <c r="C53" s="106" t="s">
        <v>199</v>
      </c>
      <c r="D53" s="106"/>
      <c r="E53" s="106"/>
      <c r="F53" s="106"/>
      <c r="G53" s="106"/>
      <c r="H53" s="106"/>
      <c r="I53" s="106"/>
    </row>
    <row r="54" spans="2:9" s="107" customFormat="1" ht="15" x14ac:dyDescent="0.25">
      <c r="B54" s="106"/>
      <c r="C54" s="106" t="s">
        <v>200</v>
      </c>
      <c r="D54" s="106"/>
      <c r="E54" s="106"/>
      <c r="F54" s="106"/>
      <c r="G54" s="106"/>
      <c r="H54" s="106"/>
      <c r="I54" s="106"/>
    </row>
    <row r="55" spans="2:9" s="107" customFormat="1" ht="15" x14ac:dyDescent="0.25">
      <c r="B55" s="106"/>
      <c r="C55" s="106" t="s">
        <v>201</v>
      </c>
      <c r="D55" s="106"/>
      <c r="E55" s="106"/>
      <c r="F55" s="106"/>
      <c r="G55" s="106"/>
      <c r="H55" s="106"/>
      <c r="I55" s="106"/>
    </row>
    <row r="56" spans="2:9" s="107" customFormat="1" ht="15" x14ac:dyDescent="0.25">
      <c r="B56" s="106"/>
      <c r="C56" s="106" t="s">
        <v>203</v>
      </c>
      <c r="D56" s="106"/>
      <c r="E56" s="106"/>
      <c r="F56" s="106"/>
      <c r="G56" s="106"/>
      <c r="H56" s="106"/>
      <c r="I56" s="106"/>
    </row>
    <row r="57" spans="2:9" s="107" customFormat="1" ht="15" x14ac:dyDescent="0.25">
      <c r="B57" s="106"/>
      <c r="C57" s="106" t="s">
        <v>204</v>
      </c>
      <c r="D57" s="106"/>
      <c r="E57" s="106"/>
      <c r="F57" s="106"/>
      <c r="G57" s="106"/>
      <c r="H57" s="106"/>
      <c r="I57" s="106"/>
    </row>
    <row r="58" spans="2:9" s="107" customFormat="1" ht="15" x14ac:dyDescent="0.25">
      <c r="B58" s="106"/>
      <c r="C58" s="106" t="s">
        <v>214</v>
      </c>
      <c r="D58" s="106"/>
      <c r="E58" s="106"/>
      <c r="F58" s="106"/>
      <c r="G58" s="106"/>
      <c r="H58" s="106"/>
      <c r="I58" s="106"/>
    </row>
    <row r="59" spans="2:9" s="107" customFormat="1" ht="15" x14ac:dyDescent="0.25">
      <c r="B59" s="106"/>
      <c r="C59" s="106"/>
      <c r="D59" s="106"/>
      <c r="E59" s="106"/>
      <c r="F59" s="106"/>
      <c r="G59" s="106"/>
      <c r="H59" s="106"/>
      <c r="I59" s="106"/>
    </row>
    <row r="60" spans="2:9" s="107" customFormat="1" ht="15" x14ac:dyDescent="0.25">
      <c r="B60" s="106"/>
      <c r="C60" s="106" t="s">
        <v>231</v>
      </c>
      <c r="D60" s="106"/>
      <c r="E60" s="106"/>
      <c r="F60" s="106"/>
      <c r="G60" s="106"/>
      <c r="H60" s="106"/>
      <c r="I60" s="106"/>
    </row>
    <row r="61" spans="2:9" s="107" customFormat="1" ht="15" x14ac:dyDescent="0.25">
      <c r="B61" s="106"/>
      <c r="C61" s="106" t="s">
        <v>232</v>
      </c>
      <c r="D61" s="106"/>
      <c r="E61" s="106"/>
      <c r="F61" s="106"/>
      <c r="G61" s="106"/>
      <c r="H61" s="106"/>
      <c r="I61" s="106"/>
    </row>
    <row r="62" spans="2:9" s="107" customFormat="1" ht="15" x14ac:dyDescent="0.25">
      <c r="B62" s="106"/>
      <c r="C62" s="106"/>
      <c r="D62" s="106"/>
      <c r="E62" s="106"/>
      <c r="F62" s="106"/>
      <c r="G62" s="106"/>
      <c r="H62" s="106"/>
      <c r="I62" s="106"/>
    </row>
    <row r="63" spans="2:9" s="107" customFormat="1" ht="15" x14ac:dyDescent="0.25">
      <c r="B63" s="106"/>
      <c r="C63" s="106" t="s">
        <v>151</v>
      </c>
      <c r="D63" s="106"/>
      <c r="E63" s="106"/>
      <c r="F63" s="106"/>
      <c r="G63" s="106"/>
      <c r="H63" s="106"/>
      <c r="I63" s="106"/>
    </row>
    <row r="64" spans="2:9" s="107" customFormat="1" ht="15" x14ac:dyDescent="0.25">
      <c r="B64" s="106"/>
      <c r="C64" s="106" t="s">
        <v>315</v>
      </c>
      <c r="D64" s="106"/>
      <c r="E64" s="106"/>
      <c r="F64" s="106"/>
      <c r="G64" s="106"/>
      <c r="H64" s="106"/>
      <c r="I64" s="106"/>
    </row>
    <row r="65" spans="2:9" s="107" customFormat="1" ht="15" x14ac:dyDescent="0.25">
      <c r="B65" s="106"/>
      <c r="C65" s="106" t="s">
        <v>318</v>
      </c>
      <c r="D65" s="106"/>
      <c r="E65" s="106"/>
      <c r="F65" s="106"/>
      <c r="G65" s="106"/>
      <c r="H65" s="106"/>
      <c r="I65" s="106"/>
    </row>
    <row r="66" spans="2:9" s="107" customFormat="1" ht="15" x14ac:dyDescent="0.25">
      <c r="B66" s="106"/>
      <c r="C66" s="106"/>
      <c r="D66" s="106"/>
      <c r="E66" s="106"/>
      <c r="F66" s="106"/>
      <c r="G66" s="106"/>
      <c r="H66" s="106"/>
      <c r="I66" s="106"/>
    </row>
    <row r="67" spans="2:9" s="107" customFormat="1" ht="15" x14ac:dyDescent="0.25">
      <c r="B67" s="106"/>
      <c r="C67" s="105" t="s">
        <v>22</v>
      </c>
      <c r="D67" s="106"/>
      <c r="E67" s="106"/>
      <c r="F67" s="106"/>
      <c r="G67" s="106"/>
      <c r="H67" s="106"/>
      <c r="I67" s="106"/>
    </row>
    <row r="68" spans="2:9" s="107" customFormat="1" ht="15" x14ac:dyDescent="0.25">
      <c r="B68" s="106"/>
      <c r="C68" s="106" t="s">
        <v>152</v>
      </c>
      <c r="D68" s="106"/>
      <c r="E68" s="106"/>
      <c r="F68" s="106"/>
      <c r="G68" s="106"/>
      <c r="H68" s="106"/>
      <c r="I68" s="106"/>
    </row>
    <row r="69" spans="2:9" s="107" customFormat="1" ht="15" x14ac:dyDescent="0.25">
      <c r="B69" s="106"/>
      <c r="C69" s="106" t="s">
        <v>193</v>
      </c>
      <c r="D69" s="106"/>
      <c r="E69" s="106"/>
      <c r="F69" s="106"/>
      <c r="G69" s="106"/>
      <c r="H69" s="106"/>
      <c r="I69" s="106"/>
    </row>
    <row r="70" spans="2:9" s="107" customFormat="1" ht="15" x14ac:dyDescent="0.25">
      <c r="B70" s="106"/>
      <c r="C70" s="106" t="s">
        <v>194</v>
      </c>
      <c r="D70" s="106"/>
      <c r="E70" s="106"/>
      <c r="F70" s="106"/>
      <c r="G70" s="106"/>
      <c r="H70" s="106"/>
      <c r="I70" s="106"/>
    </row>
    <row r="71" spans="2:9" s="107" customFormat="1" ht="15" x14ac:dyDescent="0.25">
      <c r="B71" s="106"/>
      <c r="C71" s="106" t="s">
        <v>233</v>
      </c>
      <c r="D71" s="106"/>
      <c r="E71" s="106"/>
      <c r="F71" s="106"/>
      <c r="G71" s="106"/>
      <c r="H71" s="106"/>
      <c r="I71" s="106"/>
    </row>
    <row r="72" spans="2:9" s="107" customFormat="1" ht="15" x14ac:dyDescent="0.25">
      <c r="B72" s="106"/>
      <c r="C72" s="106" t="s">
        <v>234</v>
      </c>
      <c r="D72" s="106"/>
      <c r="E72" s="106"/>
      <c r="F72" s="106"/>
      <c r="G72" s="106"/>
      <c r="H72" s="106"/>
      <c r="I72" s="106"/>
    </row>
    <row r="73" spans="2:9" s="107" customFormat="1" ht="15" x14ac:dyDescent="0.25">
      <c r="B73" s="106"/>
      <c r="C73" s="106" t="s">
        <v>63</v>
      </c>
      <c r="D73" s="106"/>
      <c r="E73" s="106"/>
      <c r="F73" s="106"/>
      <c r="G73" s="106"/>
      <c r="H73" s="106"/>
      <c r="I73" s="106"/>
    </row>
    <row r="74" spans="2:9" s="107" customFormat="1" ht="15" x14ac:dyDescent="0.25">
      <c r="B74" s="106"/>
      <c r="C74" s="106" t="s">
        <v>157</v>
      </c>
      <c r="D74" s="106"/>
      <c r="E74" s="106"/>
      <c r="F74" s="106"/>
      <c r="G74" s="106"/>
      <c r="H74" s="106"/>
      <c r="I74" s="106"/>
    </row>
    <row r="75" spans="2:9" s="107" customFormat="1" ht="15" x14ac:dyDescent="0.25">
      <c r="B75" s="106"/>
      <c r="C75" s="106" t="s">
        <v>287</v>
      </c>
      <c r="D75" s="106"/>
      <c r="E75" s="106"/>
      <c r="F75" s="106"/>
      <c r="G75" s="106"/>
      <c r="H75" s="106"/>
      <c r="I75" s="106"/>
    </row>
    <row r="76" spans="2:9" s="107" customFormat="1" ht="15" x14ac:dyDescent="0.25">
      <c r="B76" s="106"/>
      <c r="C76" s="106" t="s">
        <v>288</v>
      </c>
      <c r="D76" s="106"/>
      <c r="E76" s="106"/>
      <c r="F76" s="106"/>
      <c r="G76" s="106"/>
      <c r="H76" s="106"/>
      <c r="I76" s="106"/>
    </row>
    <row r="77" spans="2:9" s="107" customFormat="1" ht="15" hidden="1" x14ac:dyDescent="0.25">
      <c r="B77" s="106"/>
      <c r="C77" s="229" t="s">
        <v>180</v>
      </c>
      <c r="D77" s="106"/>
      <c r="E77" s="106"/>
      <c r="F77" s="106"/>
      <c r="G77" s="106"/>
      <c r="H77" s="106"/>
      <c r="I77" s="106"/>
    </row>
    <row r="78" spans="2:9" s="107" customFormat="1" ht="15" hidden="1" x14ac:dyDescent="0.25">
      <c r="B78" s="106"/>
      <c r="C78" s="229" t="s">
        <v>185</v>
      </c>
      <c r="D78" s="106"/>
      <c r="E78" s="106"/>
      <c r="F78" s="106"/>
      <c r="G78" s="106"/>
      <c r="H78" s="106"/>
      <c r="I78" s="106"/>
    </row>
    <row r="79" spans="2:9" s="107" customFormat="1" ht="15" hidden="1" x14ac:dyDescent="0.25">
      <c r="B79" s="106"/>
      <c r="C79" s="229" t="s">
        <v>195</v>
      </c>
      <c r="D79" s="106"/>
      <c r="E79" s="106"/>
      <c r="F79" s="106"/>
      <c r="G79" s="106"/>
      <c r="H79" s="106"/>
      <c r="I79" s="106"/>
    </row>
    <row r="80" spans="2:9" s="107" customFormat="1" ht="15" x14ac:dyDescent="0.25">
      <c r="B80" s="106"/>
      <c r="C80" s="106" t="s">
        <v>289</v>
      </c>
      <c r="D80" s="106"/>
      <c r="E80" s="106"/>
      <c r="F80" s="106"/>
      <c r="G80" s="106"/>
      <c r="H80" s="106"/>
      <c r="I80" s="106"/>
    </row>
    <row r="81" spans="2:9" s="107" customFormat="1" ht="15" x14ac:dyDescent="0.25">
      <c r="B81" s="106"/>
      <c r="C81" s="106" t="s">
        <v>196</v>
      </c>
      <c r="D81" s="106"/>
      <c r="E81" s="106"/>
      <c r="F81" s="106"/>
      <c r="G81" s="106"/>
      <c r="H81" s="106"/>
      <c r="I81" s="106"/>
    </row>
    <row r="82" spans="2:9" s="107" customFormat="1" ht="15" x14ac:dyDescent="0.25">
      <c r="B82" s="106"/>
      <c r="C82" s="106" t="s">
        <v>24</v>
      </c>
      <c r="D82" s="106"/>
      <c r="E82" s="106"/>
      <c r="F82" s="106"/>
      <c r="G82" s="106"/>
      <c r="H82" s="106"/>
      <c r="I82" s="106"/>
    </row>
    <row r="83" spans="2:9" s="107" customFormat="1" ht="15" x14ac:dyDescent="0.25">
      <c r="B83" s="106"/>
      <c r="C83" s="106" t="s">
        <v>198</v>
      </c>
      <c r="D83" s="106"/>
      <c r="E83" s="106"/>
      <c r="F83" s="106"/>
      <c r="G83" s="106"/>
      <c r="H83" s="106"/>
      <c r="I83" s="106"/>
    </row>
    <row r="84" spans="2:9" s="107" customFormat="1" ht="15" x14ac:dyDescent="0.25">
      <c r="B84" s="106"/>
      <c r="C84" s="106" t="s">
        <v>197</v>
      </c>
      <c r="D84" s="106"/>
      <c r="E84" s="106"/>
      <c r="F84" s="106"/>
      <c r="G84" s="106"/>
      <c r="H84" s="106"/>
      <c r="I84" s="106"/>
    </row>
    <row r="85" spans="2:9" s="107" customFormat="1" ht="15" x14ac:dyDescent="0.25">
      <c r="B85" s="106"/>
      <c r="C85" s="106" t="s">
        <v>177</v>
      </c>
      <c r="D85" s="106"/>
      <c r="E85" s="106"/>
      <c r="F85" s="106"/>
      <c r="G85" s="106"/>
      <c r="H85" s="106"/>
      <c r="I85" s="106"/>
    </row>
    <row r="86" spans="2:9" s="107" customFormat="1" ht="15" x14ac:dyDescent="0.25">
      <c r="B86" s="106"/>
      <c r="C86" s="106"/>
      <c r="D86" s="106"/>
      <c r="E86" s="106"/>
      <c r="F86" s="106"/>
      <c r="G86" s="106"/>
      <c r="H86" s="106"/>
      <c r="I86" s="106"/>
    </row>
    <row r="87" spans="2:9" s="107" customFormat="1" ht="15" x14ac:dyDescent="0.25">
      <c r="B87" s="106"/>
      <c r="C87" s="106" t="s">
        <v>25</v>
      </c>
      <c r="D87" s="106"/>
      <c r="E87" s="106"/>
      <c r="F87" s="106"/>
      <c r="G87" s="106"/>
      <c r="H87" s="106"/>
      <c r="I87" s="106"/>
    </row>
    <row r="88" spans="2:9" s="107" customFormat="1" ht="15" x14ac:dyDescent="0.25">
      <c r="B88" s="106"/>
      <c r="C88" s="106" t="s">
        <v>26</v>
      </c>
      <c r="D88" s="106"/>
      <c r="E88" s="106"/>
      <c r="F88" s="106"/>
      <c r="G88" s="106"/>
      <c r="H88" s="106"/>
      <c r="I88" s="106"/>
    </row>
    <row r="89" spans="2:9" s="107" customFormat="1" ht="15" x14ac:dyDescent="0.25">
      <c r="B89" s="106"/>
      <c r="C89" s="106" t="s">
        <v>235</v>
      </c>
      <c r="D89" s="106"/>
      <c r="E89" s="106"/>
      <c r="F89" s="106"/>
      <c r="G89" s="106"/>
      <c r="H89" s="106"/>
      <c r="I89" s="106"/>
    </row>
    <row r="90" spans="2:9" s="107" customFormat="1" ht="15" x14ac:dyDescent="0.25">
      <c r="B90" s="106"/>
      <c r="C90" s="106" t="s">
        <v>181</v>
      </c>
      <c r="D90" s="106"/>
      <c r="E90" s="106"/>
      <c r="F90" s="106"/>
      <c r="G90" s="106"/>
      <c r="H90" s="106"/>
      <c r="I90" s="106"/>
    </row>
    <row r="91" spans="2:9" s="107" customFormat="1" ht="15" x14ac:dyDescent="0.25">
      <c r="B91" s="106"/>
      <c r="C91" s="106"/>
      <c r="D91" s="106"/>
      <c r="E91" s="106"/>
      <c r="F91" s="106"/>
      <c r="G91" s="106"/>
      <c r="H91" s="106"/>
      <c r="I91" s="106"/>
    </row>
    <row r="92" spans="2:9" s="107" customFormat="1" ht="15" x14ac:dyDescent="0.25">
      <c r="B92" s="106"/>
      <c r="C92" s="106" t="s">
        <v>27</v>
      </c>
      <c r="D92" s="106"/>
      <c r="E92" s="106"/>
      <c r="F92" s="106"/>
      <c r="G92" s="106"/>
      <c r="H92" s="106"/>
      <c r="I92" s="106"/>
    </row>
    <row r="93" spans="2:9" s="107" customFormat="1" ht="15" x14ac:dyDescent="0.25">
      <c r="B93" s="106"/>
      <c r="C93" s="106" t="s">
        <v>28</v>
      </c>
      <c r="D93" s="106"/>
      <c r="E93" s="106"/>
      <c r="F93" s="106"/>
      <c r="G93" s="106"/>
      <c r="H93" s="106"/>
      <c r="I93" s="106"/>
    </row>
    <row r="94" spans="2:9" s="107" customFormat="1" ht="15" x14ac:dyDescent="0.25">
      <c r="B94" s="106"/>
      <c r="C94" s="106" t="s">
        <v>236</v>
      </c>
      <c r="D94" s="106"/>
      <c r="E94" s="106"/>
      <c r="F94" s="106"/>
      <c r="G94" s="106"/>
      <c r="H94" s="106"/>
      <c r="I94" s="106"/>
    </row>
    <row r="95" spans="2:9" s="107" customFormat="1" ht="15" x14ac:dyDescent="0.25">
      <c r="B95" s="106"/>
      <c r="C95" s="106" t="s">
        <v>29</v>
      </c>
      <c r="D95" s="106"/>
      <c r="E95" s="106"/>
      <c r="F95" s="106"/>
      <c r="G95" s="106"/>
      <c r="H95" s="106"/>
      <c r="I95" s="106"/>
    </row>
    <row r="96" spans="2:9" s="107" customFormat="1" ht="15" x14ac:dyDescent="0.25">
      <c r="B96" s="106"/>
      <c r="C96" s="106" t="s">
        <v>77</v>
      </c>
      <c r="D96" s="106"/>
      <c r="E96" s="106"/>
      <c r="F96" s="106"/>
      <c r="G96" s="106"/>
      <c r="H96" s="106"/>
      <c r="I96" s="106"/>
    </row>
    <row r="97" spans="2:9" s="107" customFormat="1" ht="15" x14ac:dyDescent="0.25">
      <c r="B97" s="106"/>
      <c r="C97" s="106" t="s">
        <v>178</v>
      </c>
      <c r="D97" s="106"/>
      <c r="E97" s="106"/>
      <c r="F97" s="106"/>
      <c r="G97" s="106"/>
      <c r="H97" s="106"/>
      <c r="I97" s="106"/>
    </row>
    <row r="98" spans="2:9" s="107" customFormat="1" ht="15" x14ac:dyDescent="0.25">
      <c r="B98" s="106"/>
      <c r="C98" s="106" t="s">
        <v>179</v>
      </c>
      <c r="D98" s="106"/>
      <c r="E98" s="106"/>
      <c r="F98" s="106"/>
      <c r="G98" s="106"/>
      <c r="H98" s="106"/>
      <c r="I98" s="106"/>
    </row>
    <row r="99" spans="2:9" s="107" customFormat="1" ht="15" hidden="1" x14ac:dyDescent="0.25">
      <c r="B99" s="106"/>
      <c r="C99" s="228" t="s">
        <v>80</v>
      </c>
      <c r="D99" s="106"/>
      <c r="E99" s="106"/>
      <c r="F99" s="106"/>
      <c r="G99" s="106"/>
      <c r="H99" s="106"/>
      <c r="I99" s="106"/>
    </row>
    <row r="100" spans="2:9" s="107" customFormat="1" ht="15" x14ac:dyDescent="0.25">
      <c r="B100" s="106"/>
      <c r="C100" s="106" t="s">
        <v>158</v>
      </c>
      <c r="D100" s="106"/>
      <c r="E100" s="106"/>
      <c r="F100" s="106"/>
      <c r="G100" s="106"/>
      <c r="H100" s="106"/>
      <c r="I100" s="106"/>
    </row>
    <row r="101" spans="2:9" s="107" customFormat="1" ht="15" x14ac:dyDescent="0.25">
      <c r="B101" s="106"/>
      <c r="C101" s="106" t="s">
        <v>182</v>
      </c>
      <c r="D101" s="106"/>
      <c r="E101" s="106"/>
      <c r="F101" s="106"/>
      <c r="G101" s="106"/>
      <c r="H101" s="106"/>
      <c r="I101" s="106"/>
    </row>
    <row r="102" spans="2:9" s="107" customFormat="1" ht="15" x14ac:dyDescent="0.25">
      <c r="B102" s="106"/>
      <c r="C102" s="106" t="s">
        <v>183</v>
      </c>
      <c r="D102" s="106"/>
      <c r="E102" s="106"/>
      <c r="F102" s="106"/>
      <c r="G102" s="106"/>
      <c r="H102" s="106"/>
      <c r="I102" s="106"/>
    </row>
    <row r="103" spans="2:9" s="107" customFormat="1" ht="15" x14ac:dyDescent="0.25">
      <c r="B103" s="106"/>
      <c r="C103" s="106" t="s">
        <v>299</v>
      </c>
      <c r="D103" s="106"/>
      <c r="E103" s="106"/>
      <c r="F103" s="106"/>
      <c r="G103" s="106"/>
      <c r="H103" s="106"/>
      <c r="I103" s="106"/>
    </row>
    <row r="104" spans="2:9" s="107" customFormat="1" ht="15" x14ac:dyDescent="0.25">
      <c r="B104" s="106"/>
      <c r="C104" s="106"/>
      <c r="D104" s="106"/>
      <c r="E104" s="106"/>
      <c r="F104" s="106"/>
      <c r="G104" s="106"/>
      <c r="H104" s="106"/>
      <c r="I104" s="106"/>
    </row>
    <row r="105" spans="2:9" s="107" customFormat="1" ht="15" x14ac:dyDescent="0.25">
      <c r="B105" s="106"/>
      <c r="C105" s="105" t="s">
        <v>23</v>
      </c>
      <c r="D105" s="106"/>
      <c r="E105" s="106"/>
      <c r="F105" s="106"/>
      <c r="G105" s="106"/>
      <c r="H105" s="106"/>
      <c r="I105" s="106"/>
    </row>
    <row r="106" spans="2:9" s="107" customFormat="1" ht="15" x14ac:dyDescent="0.25">
      <c r="B106" s="106"/>
      <c r="C106" s="106" t="s">
        <v>316</v>
      </c>
      <c r="D106" s="106"/>
      <c r="E106" s="106"/>
      <c r="F106" s="106"/>
      <c r="G106" s="106"/>
      <c r="H106" s="106"/>
      <c r="I106" s="106"/>
    </row>
    <row r="107" spans="2:9" s="107" customFormat="1" ht="15" x14ac:dyDescent="0.25">
      <c r="B107" s="106"/>
      <c r="C107" s="106"/>
      <c r="D107" s="106"/>
      <c r="E107" s="106"/>
      <c r="F107" s="106"/>
      <c r="G107" s="106"/>
      <c r="H107" s="106"/>
      <c r="I107" s="106"/>
    </row>
    <row r="108" spans="2:9" s="107" customFormat="1" ht="15" x14ac:dyDescent="0.25">
      <c r="B108" s="106"/>
      <c r="C108" s="106" t="s">
        <v>261</v>
      </c>
      <c r="D108" s="106"/>
      <c r="E108" s="106"/>
      <c r="F108" s="106"/>
      <c r="G108" s="106"/>
      <c r="H108" s="106"/>
      <c r="I108" s="106"/>
    </row>
    <row r="109" spans="2:9" s="107" customFormat="1" ht="15" x14ac:dyDescent="0.25">
      <c r="B109" s="106"/>
      <c r="C109" s="106" t="s">
        <v>262</v>
      </c>
      <c r="D109" s="106"/>
      <c r="E109" s="106"/>
      <c r="F109" s="106"/>
      <c r="G109" s="106"/>
      <c r="H109" s="106"/>
      <c r="I109" s="106"/>
    </row>
    <row r="110" spans="2:9" s="107" customFormat="1" ht="15" x14ac:dyDescent="0.25">
      <c r="B110" s="106"/>
      <c r="C110" s="106" t="s">
        <v>263</v>
      </c>
      <c r="D110" s="106"/>
      <c r="E110" s="106"/>
      <c r="F110" s="106"/>
      <c r="G110" s="106"/>
      <c r="H110" s="106"/>
      <c r="I110" s="106"/>
    </row>
    <row r="111" spans="2:9" s="107" customFormat="1" ht="15" x14ac:dyDescent="0.25">
      <c r="B111" s="106"/>
      <c r="C111" s="106" t="s">
        <v>264</v>
      </c>
      <c r="D111" s="106"/>
      <c r="E111" s="106"/>
      <c r="F111" s="106"/>
      <c r="G111" s="106"/>
      <c r="H111" s="106"/>
      <c r="I111" s="106"/>
    </row>
    <row r="112" spans="2:9" s="107" customFormat="1" ht="15" x14ac:dyDescent="0.25">
      <c r="B112" s="106"/>
      <c r="C112" s="106" t="s">
        <v>30</v>
      </c>
      <c r="D112" s="106"/>
      <c r="E112" s="106"/>
      <c r="F112" s="106"/>
      <c r="G112" s="106"/>
      <c r="H112" s="106"/>
      <c r="I112" s="106"/>
    </row>
    <row r="113" spans="2:9" s="107" customFormat="1" ht="15" x14ac:dyDescent="0.25">
      <c r="B113" s="106"/>
      <c r="C113" s="106" t="s">
        <v>33</v>
      </c>
      <c r="D113" s="106"/>
      <c r="E113" s="106"/>
      <c r="F113" s="106"/>
      <c r="G113" s="106"/>
      <c r="H113" s="106"/>
      <c r="I113" s="106"/>
    </row>
    <row r="114" spans="2:9" s="107" customFormat="1" ht="15" x14ac:dyDescent="0.25">
      <c r="B114" s="106"/>
      <c r="C114" s="106"/>
      <c r="D114" s="106"/>
      <c r="E114" s="106"/>
      <c r="F114" s="106"/>
      <c r="G114" s="106"/>
      <c r="H114" s="106"/>
      <c r="I114" s="106"/>
    </row>
    <row r="115" spans="2:9" s="107" customFormat="1" ht="15" x14ac:dyDescent="0.25">
      <c r="B115" s="106"/>
      <c r="C115" s="106" t="s">
        <v>31</v>
      </c>
      <c r="D115" s="106"/>
      <c r="E115" s="106"/>
      <c r="F115" s="106"/>
      <c r="G115" s="106"/>
      <c r="H115" s="106"/>
      <c r="I115" s="106"/>
    </row>
    <row r="116" spans="2:9" s="107" customFormat="1" ht="15" x14ac:dyDescent="0.25">
      <c r="B116" s="106"/>
      <c r="C116" s="106" t="s">
        <v>159</v>
      </c>
      <c r="D116" s="106"/>
      <c r="E116" s="106"/>
      <c r="F116" s="106"/>
      <c r="G116" s="106"/>
      <c r="H116" s="106"/>
      <c r="I116" s="106"/>
    </row>
    <row r="117" spans="2:9" s="107" customFormat="1" ht="15" x14ac:dyDescent="0.25">
      <c r="B117" s="106"/>
      <c r="C117" s="106" t="s">
        <v>258</v>
      </c>
      <c r="D117" s="106"/>
      <c r="E117" s="106"/>
      <c r="F117" s="106"/>
      <c r="G117" s="106"/>
      <c r="H117" s="106"/>
      <c r="I117" s="106"/>
    </row>
    <row r="118" spans="2:9" s="107" customFormat="1" ht="15" hidden="1" x14ac:dyDescent="0.25">
      <c r="B118" s="106"/>
      <c r="C118" s="228" t="s">
        <v>32</v>
      </c>
      <c r="D118" s="106"/>
      <c r="E118" s="106"/>
      <c r="F118" s="106"/>
      <c r="G118" s="106"/>
      <c r="H118" s="106"/>
      <c r="I118" s="106"/>
    </row>
    <row r="119" spans="2:9" s="107" customFormat="1" ht="15" hidden="1" x14ac:dyDescent="0.25">
      <c r="B119" s="106"/>
      <c r="C119" s="228" t="s">
        <v>172</v>
      </c>
      <c r="D119" s="106"/>
      <c r="E119" s="106"/>
      <c r="F119" s="106"/>
      <c r="G119" s="106"/>
      <c r="H119" s="106"/>
      <c r="I119" s="106"/>
    </row>
    <row r="120" spans="2:9" s="107" customFormat="1" ht="15" hidden="1" x14ac:dyDescent="0.25">
      <c r="B120" s="106"/>
      <c r="C120" s="228" t="s">
        <v>173</v>
      </c>
      <c r="D120" s="106"/>
      <c r="E120" s="106"/>
      <c r="F120" s="106"/>
      <c r="G120" s="106"/>
      <c r="H120" s="106"/>
      <c r="I120" s="106"/>
    </row>
    <row r="121" spans="2:9" s="107" customFormat="1" ht="15" hidden="1" x14ac:dyDescent="0.25">
      <c r="B121" s="106"/>
      <c r="C121" s="228" t="s">
        <v>174</v>
      </c>
      <c r="D121" s="106"/>
      <c r="E121" s="106"/>
      <c r="F121" s="106"/>
      <c r="G121" s="106"/>
      <c r="H121" s="106"/>
      <c r="I121" s="106"/>
    </row>
    <row r="122" spans="2:9" s="107" customFormat="1" ht="15" x14ac:dyDescent="0.25">
      <c r="B122" s="106"/>
      <c r="C122" s="106" t="s">
        <v>259</v>
      </c>
      <c r="D122" s="106"/>
      <c r="E122" s="106"/>
      <c r="F122" s="106"/>
      <c r="G122" s="106"/>
      <c r="H122" s="106"/>
      <c r="I122" s="106"/>
    </row>
    <row r="123" spans="2:9" s="107" customFormat="1" ht="15" x14ac:dyDescent="0.25">
      <c r="B123" s="106"/>
      <c r="C123" s="106" t="s">
        <v>260</v>
      </c>
      <c r="D123" s="106"/>
      <c r="E123" s="106"/>
      <c r="F123" s="106"/>
      <c r="G123" s="106"/>
      <c r="H123" s="106"/>
      <c r="I123" s="106"/>
    </row>
    <row r="124" spans="2:9" s="107" customFormat="1" ht="15" hidden="1" x14ac:dyDescent="0.25">
      <c r="B124" s="106"/>
      <c r="C124" s="106"/>
      <c r="D124" s="106"/>
      <c r="E124" s="106"/>
      <c r="F124" s="106"/>
      <c r="G124" s="106"/>
      <c r="H124" s="106"/>
      <c r="I124" s="106"/>
    </row>
    <row r="125" spans="2:9" s="107" customFormat="1" ht="15" hidden="1" x14ac:dyDescent="0.25">
      <c r="B125" s="106"/>
      <c r="C125" s="228" t="s">
        <v>71</v>
      </c>
      <c r="D125" s="106"/>
      <c r="E125" s="106"/>
      <c r="F125" s="106"/>
      <c r="G125" s="106"/>
      <c r="H125" s="106"/>
      <c r="I125" s="106"/>
    </row>
    <row r="126" spans="2:9" s="107" customFormat="1" ht="15" hidden="1" x14ac:dyDescent="0.25">
      <c r="B126" s="106"/>
      <c r="C126" s="228" t="s">
        <v>72</v>
      </c>
      <c r="D126" s="106"/>
      <c r="E126" s="106"/>
      <c r="F126" s="106"/>
      <c r="G126" s="106"/>
      <c r="H126" s="106"/>
      <c r="I126" s="106"/>
    </row>
    <row r="127" spans="2:9" s="107" customFormat="1" ht="15" hidden="1" x14ac:dyDescent="0.25">
      <c r="B127" s="106"/>
      <c r="C127" s="106"/>
      <c r="D127" s="106"/>
      <c r="E127" s="106"/>
      <c r="F127" s="106"/>
      <c r="G127" s="106"/>
      <c r="H127" s="106"/>
      <c r="I127" s="106"/>
    </row>
    <row r="128" spans="2:9" s="107" customFormat="1" ht="15" x14ac:dyDescent="0.25">
      <c r="B128" s="106"/>
      <c r="C128" s="106"/>
      <c r="D128" s="106"/>
      <c r="E128" s="106"/>
      <c r="F128" s="106"/>
      <c r="G128" s="106"/>
      <c r="H128" s="106"/>
      <c r="I128" s="106"/>
    </row>
    <row r="129" spans="2:9" s="107" customFormat="1" ht="15" x14ac:dyDescent="0.25">
      <c r="B129" s="106"/>
      <c r="C129" s="106" t="s">
        <v>86</v>
      </c>
      <c r="D129" s="106"/>
      <c r="E129" s="106"/>
      <c r="F129" s="106"/>
      <c r="G129" s="106"/>
      <c r="H129" s="108" t="s">
        <v>317</v>
      </c>
      <c r="I129" s="106"/>
    </row>
    <row r="130" spans="2:9" s="107" customFormat="1" ht="15" x14ac:dyDescent="0.25">
      <c r="B130" s="106"/>
      <c r="C130" s="106"/>
      <c r="D130" s="106"/>
      <c r="E130" s="106"/>
      <c r="F130" s="106"/>
      <c r="G130" s="106"/>
      <c r="H130" s="106"/>
      <c r="I130" s="106"/>
    </row>
    <row r="131" spans="2:9" x14ac:dyDescent="0.25">
      <c r="B131" s="107"/>
      <c r="C131" s="107"/>
      <c r="D131" s="107"/>
      <c r="E131" s="107"/>
      <c r="F131" s="107"/>
      <c r="G131" s="107"/>
      <c r="H131" s="107"/>
      <c r="I131" s="107"/>
    </row>
  </sheetData>
  <sheetProtection algorithmName="SHA-512" hashValue="aqTKlAyfpaVlcQGdjQ74RMoMS929SP10Yh3roEtoeQhLO5KnN9zzIF0dO0s5r2NV9X5SF84iLtRmj1sJ61EHdQ==" saltValue="KJlYze30LRN1M1Xn/WHe4w==" spinCount="100000" sheet="1" objects="1" scenarios="1"/>
  <phoneticPr fontId="0" type="noConversion"/>
  <hyperlinks>
    <hyperlink ref="H129" r:id="rId1" display="PO-raad: Helpdesk"/>
  </hyperlinks>
  <pageMargins left="0.74803149606299213" right="0.74803149606299213" top="0.98425196850393704" bottom="0.98425196850393704" header="0.51181102362204722" footer="0.51181102362204722"/>
  <pageSetup paperSize="9" scale="70" orientation="portrait" r:id="rId2"/>
  <headerFooter alignWithMargins="0">
    <oddHeader>&amp;L&amp;"Arial,Vet"&amp;A&amp;C&amp;"Arial,Vet"&amp;F&amp;R&amp;"Arial,Vet"&amp;D</oddHeader>
    <oddFooter>&amp;L&amp;"Arial,Vet"PO-Raad&amp;R&amp;"Arial,Vet"&amp;P</oddFooter>
  </headerFooter>
  <rowBreaks count="1" manualBreakCount="1">
    <brk id="66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0" tint="-0.249977111117893"/>
  </sheetPr>
  <dimension ref="A2:AL294"/>
  <sheetViews>
    <sheetView tabSelected="1" zoomScale="90" zoomScaleNormal="90" zoomScaleSheetLayoutView="85" workbookViewId="0">
      <selection activeCell="B2" sqref="B2"/>
    </sheetView>
  </sheetViews>
  <sheetFormatPr defaultColWidth="9.140625" defaultRowHeight="12.75" x14ac:dyDescent="0.2"/>
  <cols>
    <col min="1" max="1" width="3.7109375" style="120" customWidth="1"/>
    <col min="2" max="3" width="2.7109375" style="120" customWidth="1"/>
    <col min="4" max="4" width="1.85546875" style="120" customWidth="1"/>
    <col min="5" max="5" width="40.85546875" style="120" customWidth="1"/>
    <col min="6" max="6" width="1.7109375" style="386" customWidth="1"/>
    <col min="7" max="7" width="14.7109375" style="120" customWidth="1"/>
    <col min="8" max="8" width="2.85546875" style="120" customWidth="1"/>
    <col min="9" max="9" width="40.85546875" style="120" customWidth="1"/>
    <col min="10" max="10" width="1.85546875" style="386" customWidth="1"/>
    <col min="11" max="11" width="14.7109375" style="120" customWidth="1"/>
    <col min="12" max="12" width="2.85546875" style="120" customWidth="1"/>
    <col min="13" max="13" width="40.85546875" style="120" customWidth="1"/>
    <col min="14" max="14" width="1.7109375" style="386" customWidth="1"/>
    <col min="15" max="15" width="14.85546875" style="298" customWidth="1"/>
    <col min="16" max="16" width="3" style="120" customWidth="1"/>
    <col min="17" max="17" width="2.7109375" style="120" customWidth="1"/>
    <col min="18" max="20" width="2" style="120" customWidth="1"/>
    <col min="21" max="21" width="9.28515625" style="120" bestFit="1" customWidth="1"/>
    <col min="22" max="23" width="3" style="120" customWidth="1"/>
    <col min="24" max="29" width="8.7109375" style="120" customWidth="1"/>
    <col min="30" max="30" width="11.5703125" style="120" customWidth="1"/>
    <col min="31" max="31" width="16.85546875" style="120" bestFit="1" customWidth="1"/>
    <col min="32" max="33" width="9.140625" style="120"/>
    <col min="34" max="34" width="9.42578125" style="120" bestFit="1" customWidth="1"/>
    <col min="35" max="35" width="3.42578125" style="120" customWidth="1"/>
    <col min="36" max="36" width="9.42578125" style="120" bestFit="1" customWidth="1"/>
    <col min="37" max="37" width="10.7109375" style="120" customWidth="1"/>
    <col min="38" max="40" width="9.140625" style="120"/>
    <col min="41" max="42" width="9.42578125" style="120" bestFit="1" customWidth="1"/>
    <col min="43" max="43" width="10" style="120" bestFit="1" customWidth="1"/>
    <col min="44" max="44" width="11.28515625" style="120" bestFit="1" customWidth="1"/>
    <col min="45" max="49" width="9.140625" style="120"/>
    <col min="50" max="50" width="9.42578125" style="120" bestFit="1" customWidth="1"/>
    <col min="51" max="51" width="9.140625" style="120"/>
    <col min="52" max="52" width="10.42578125" style="120" bestFit="1" customWidth="1"/>
    <col min="53" max="53" width="9.140625" style="120"/>
    <col min="54" max="54" width="9.42578125" style="120" bestFit="1" customWidth="1"/>
    <col min="55" max="16384" width="9.140625" style="120"/>
  </cols>
  <sheetData>
    <row r="2" spans="1:24" ht="12.6" customHeight="1" x14ac:dyDescent="0.2">
      <c r="B2" s="299"/>
      <c r="C2" s="300"/>
      <c r="D2" s="300"/>
      <c r="E2" s="300"/>
      <c r="F2" s="407"/>
      <c r="G2" s="300"/>
      <c r="H2" s="300"/>
      <c r="I2" s="300"/>
      <c r="J2" s="407"/>
      <c r="K2" s="300"/>
      <c r="L2" s="300"/>
      <c r="M2" s="300"/>
      <c r="N2" s="407"/>
      <c r="O2" s="348"/>
      <c r="P2" s="300"/>
      <c r="Q2" s="301"/>
    </row>
    <row r="3" spans="1:24" ht="12.6" customHeight="1" x14ac:dyDescent="0.2">
      <c r="B3" s="302"/>
      <c r="C3" s="303"/>
      <c r="D3" s="303"/>
      <c r="E3" s="303"/>
      <c r="F3" s="408"/>
      <c r="G3" s="303"/>
      <c r="H3" s="303"/>
      <c r="I3" s="303"/>
      <c r="J3" s="408"/>
      <c r="K3" s="303"/>
      <c r="L3" s="303"/>
      <c r="M3" s="303"/>
      <c r="N3" s="408"/>
      <c r="O3" s="346"/>
      <c r="P3" s="303"/>
      <c r="Q3" s="280"/>
    </row>
    <row r="4" spans="1:24" s="304" customFormat="1" ht="18" customHeight="1" x14ac:dyDescent="0.3">
      <c r="B4" s="305"/>
      <c r="C4" s="89" t="s">
        <v>301</v>
      </c>
      <c r="D4" s="28"/>
      <c r="E4" s="306"/>
      <c r="F4" s="409"/>
      <c r="G4" s="28"/>
      <c r="H4" s="28"/>
      <c r="I4" s="28"/>
      <c r="J4" s="409"/>
      <c r="K4" s="28"/>
      <c r="L4" s="28"/>
      <c r="M4" s="28"/>
      <c r="N4" s="409"/>
      <c r="O4" s="349"/>
      <c r="P4" s="28"/>
      <c r="Q4" s="307"/>
    </row>
    <row r="5" spans="1:24" s="308" customFormat="1" ht="12.75" customHeight="1" x14ac:dyDescent="0.25">
      <c r="B5" s="309"/>
      <c r="C5" s="29" t="str">
        <f>E80</f>
        <v>Naam gefuseerde school</v>
      </c>
      <c r="D5" s="30"/>
      <c r="E5" s="310"/>
      <c r="F5" s="410"/>
      <c r="G5" s="30"/>
      <c r="H5" s="30"/>
      <c r="I5" s="30"/>
      <c r="J5" s="410"/>
      <c r="K5" s="30"/>
      <c r="L5" s="30"/>
      <c r="M5" s="30"/>
      <c r="N5" s="410"/>
      <c r="O5" s="350"/>
      <c r="P5" s="30"/>
      <c r="Q5" s="311"/>
    </row>
    <row r="6" spans="1:24" ht="12.6" customHeight="1" x14ac:dyDescent="0.2">
      <c r="B6" s="302"/>
      <c r="C6" s="303"/>
      <c r="D6" s="303"/>
      <c r="E6" s="31"/>
      <c r="F6" s="408"/>
      <c r="G6" s="303"/>
      <c r="H6" s="303"/>
      <c r="I6" s="303"/>
      <c r="J6" s="408"/>
      <c r="K6" s="303"/>
      <c r="L6" s="303"/>
      <c r="M6" s="303"/>
      <c r="N6" s="408"/>
      <c r="O6" s="346"/>
      <c r="P6" s="303"/>
      <c r="Q6" s="280"/>
    </row>
    <row r="7" spans="1:24" ht="12.6" customHeight="1" x14ac:dyDescent="0.2">
      <c r="B7" s="302"/>
      <c r="C7" s="303"/>
      <c r="D7" s="303"/>
      <c r="E7" s="31"/>
      <c r="F7" s="408"/>
      <c r="G7" s="303"/>
      <c r="H7" s="303"/>
      <c r="I7" s="31"/>
      <c r="J7" s="408"/>
      <c r="K7" s="88"/>
      <c r="L7" s="303"/>
      <c r="M7" s="303"/>
      <c r="N7" s="408"/>
      <c r="O7" s="346"/>
      <c r="P7" s="303"/>
      <c r="Q7" s="280"/>
    </row>
    <row r="8" spans="1:24" ht="12.6" customHeight="1" x14ac:dyDescent="0.2">
      <c r="B8" s="302"/>
      <c r="C8" s="90"/>
      <c r="D8" s="90"/>
      <c r="E8" s="44"/>
      <c r="F8" s="388"/>
      <c r="G8" s="90"/>
      <c r="H8" s="90"/>
      <c r="I8" s="90"/>
      <c r="J8" s="388"/>
      <c r="K8" s="90"/>
      <c r="L8" s="90"/>
      <c r="M8" s="90"/>
      <c r="N8" s="388"/>
      <c r="O8" s="289"/>
      <c r="P8" s="90"/>
      <c r="Q8" s="280"/>
    </row>
    <row r="9" spans="1:24" ht="12.6" customHeight="1" x14ac:dyDescent="0.2">
      <c r="B9" s="302"/>
      <c r="C9" s="90"/>
      <c r="D9" s="92" t="s">
        <v>215</v>
      </c>
      <c r="F9" s="388"/>
      <c r="G9" s="90"/>
      <c r="H9" s="90"/>
      <c r="I9" s="90"/>
      <c r="J9" s="388"/>
      <c r="K9" s="90"/>
      <c r="L9" s="90"/>
      <c r="M9" s="90"/>
      <c r="N9" s="388"/>
      <c r="O9" s="289"/>
      <c r="P9" s="90"/>
      <c r="Q9" s="280"/>
    </row>
    <row r="10" spans="1:24" ht="12.6" customHeight="1" x14ac:dyDescent="0.2">
      <c r="B10" s="302"/>
      <c r="C10" s="90"/>
      <c r="D10" s="90"/>
      <c r="E10" s="44"/>
      <c r="F10" s="388"/>
      <c r="G10" s="90"/>
      <c r="H10" s="90"/>
      <c r="I10" s="90"/>
      <c r="J10" s="388"/>
      <c r="K10" s="90"/>
      <c r="L10" s="90"/>
      <c r="M10" s="90"/>
      <c r="N10" s="388"/>
      <c r="O10" s="289"/>
      <c r="P10" s="90"/>
      <c r="Q10" s="280"/>
    </row>
    <row r="11" spans="1:24" ht="12.6" customHeight="1" x14ac:dyDescent="0.2">
      <c r="B11" s="302"/>
      <c r="C11" s="90"/>
      <c r="D11" s="44" t="s">
        <v>237</v>
      </c>
      <c r="E11" s="248" t="s">
        <v>90</v>
      </c>
      <c r="F11" s="388"/>
      <c r="G11" s="90"/>
      <c r="H11" s="90"/>
      <c r="I11" s="44" t="s">
        <v>19</v>
      </c>
      <c r="J11" s="388"/>
      <c r="K11" s="86" t="s">
        <v>79</v>
      </c>
      <c r="L11" s="90"/>
      <c r="M11" s="44" t="s">
        <v>271</v>
      </c>
      <c r="N11" s="388"/>
      <c r="O11" s="289"/>
      <c r="P11" s="90"/>
      <c r="Q11" s="280"/>
    </row>
    <row r="12" spans="1:24" ht="12.6" customHeight="1" x14ac:dyDescent="0.2">
      <c r="A12" s="25"/>
      <c r="B12" s="32"/>
      <c r="C12" s="44"/>
      <c r="D12" s="44"/>
      <c r="E12" s="90" t="s">
        <v>60</v>
      </c>
      <c r="F12" s="388"/>
      <c r="G12" s="246">
        <v>40.340000000000003</v>
      </c>
      <c r="H12" s="90"/>
      <c r="I12" s="90"/>
      <c r="J12" s="388"/>
      <c r="K12" s="90"/>
      <c r="L12" s="44"/>
      <c r="M12" s="44"/>
      <c r="N12" s="389"/>
      <c r="O12" s="288"/>
      <c r="P12" s="44"/>
      <c r="Q12" s="33"/>
      <c r="R12" s="25"/>
      <c r="S12" s="25"/>
      <c r="T12" s="25"/>
      <c r="X12" s="185"/>
    </row>
    <row r="13" spans="1:24" ht="12.6" customHeight="1" x14ac:dyDescent="0.2">
      <c r="A13" s="25"/>
      <c r="B13" s="32"/>
      <c r="C13" s="44"/>
      <c r="D13" s="44"/>
      <c r="E13" s="90" t="s">
        <v>61</v>
      </c>
      <c r="F13" s="388"/>
      <c r="G13" s="247">
        <v>7.5431999999999997</v>
      </c>
      <c r="H13" s="90"/>
      <c r="I13" s="90"/>
      <c r="J13" s="388"/>
      <c r="K13" s="289"/>
      <c r="L13" s="44"/>
      <c r="M13" s="44"/>
      <c r="N13" s="389"/>
      <c r="O13" s="288"/>
      <c r="P13" s="44"/>
      <c r="Q13" s="33"/>
      <c r="R13" s="25"/>
      <c r="S13" s="25"/>
      <c r="T13" s="25"/>
    </row>
    <row r="14" spans="1:24" ht="12.6" customHeight="1" x14ac:dyDescent="0.2">
      <c r="B14" s="302"/>
      <c r="C14" s="90"/>
      <c r="D14" s="90"/>
      <c r="E14" s="90" t="str">
        <f>"Aantal leerlingen 4 t/m 7 jaar per 1 oktober "&amp;tab!$D$4</f>
        <v>Aantal leerlingen 4 t/m 7 jaar per 1 oktober 2018</v>
      </c>
      <c r="F14" s="388"/>
      <c r="G14" s="86">
        <v>50</v>
      </c>
      <c r="H14" s="90"/>
      <c r="I14" s="90" t="str">
        <f>"Aantal leerlingen 4 t/m 7 jaar per 1 oktober "&amp;tab!$D$4</f>
        <v>Aantal leerlingen 4 t/m 7 jaar per 1 oktober 2018</v>
      </c>
      <c r="J14" s="388"/>
      <c r="K14" s="361">
        <v>0</v>
      </c>
      <c r="L14" s="90"/>
      <c r="M14" s="90" t="str">
        <f>"Aantal leerlingen 4 t/m 7 jaar per 1 oktober "&amp;tab!$D$4</f>
        <v>Aantal leerlingen 4 t/m 7 jaar per 1 oktober 2018</v>
      </c>
      <c r="N14" s="388"/>
      <c r="O14" s="322">
        <f>G14+K14</f>
        <v>50</v>
      </c>
      <c r="P14" s="90"/>
      <c r="Q14" s="280"/>
    </row>
    <row r="15" spans="1:24" ht="12.6" customHeight="1" x14ac:dyDescent="0.2">
      <c r="B15" s="302"/>
      <c r="C15" s="90"/>
      <c r="D15" s="90"/>
      <c r="E15" s="90" t="str">
        <f>"Aantal leerlingen 8 jaar e.o. per 1 oktober "&amp;tab!$D$4</f>
        <v>Aantal leerlingen 8 jaar e.o. per 1 oktober 2018</v>
      </c>
      <c r="F15" s="388"/>
      <c r="G15" s="86">
        <v>50</v>
      </c>
      <c r="H15" s="90"/>
      <c r="I15" s="90" t="str">
        <f>"Aantal leerlingen 8 jaar e.o. per 1 oktober "&amp;tab!$D$4</f>
        <v>Aantal leerlingen 8 jaar e.o. per 1 oktober 2018</v>
      </c>
      <c r="J15" s="388"/>
      <c r="K15" s="361">
        <v>0</v>
      </c>
      <c r="L15" s="90"/>
      <c r="M15" s="90" t="str">
        <f>"Aantal leerlingen 8 jaar e.o. per 1 oktober "&amp;tab!$D$4</f>
        <v>Aantal leerlingen 8 jaar e.o. per 1 oktober 2018</v>
      </c>
      <c r="N15" s="388"/>
      <c r="O15" s="322">
        <f>G15+K15</f>
        <v>50</v>
      </c>
      <c r="P15" s="90"/>
      <c r="Q15" s="280"/>
    </row>
    <row r="16" spans="1:24" ht="12.6" customHeight="1" x14ac:dyDescent="0.2">
      <c r="A16" s="25"/>
      <c r="B16" s="32"/>
      <c r="C16" s="44"/>
      <c r="D16" s="44"/>
      <c r="E16" s="44" t="s">
        <v>5</v>
      </c>
      <c r="F16" s="389"/>
      <c r="G16" s="101">
        <f>SUM(G14:G15)</f>
        <v>100</v>
      </c>
      <c r="H16" s="44"/>
      <c r="I16" s="44" t="s">
        <v>5</v>
      </c>
      <c r="J16" s="388"/>
      <c r="K16" s="101">
        <f>SUM(K14:K15)</f>
        <v>0</v>
      </c>
      <c r="L16" s="44"/>
      <c r="M16" s="44" t="s">
        <v>5</v>
      </c>
      <c r="N16" s="389"/>
      <c r="O16" s="101">
        <f>SUM(O14:O15)</f>
        <v>100</v>
      </c>
      <c r="P16" s="44"/>
      <c r="Q16" s="33"/>
      <c r="R16" s="25"/>
      <c r="S16" s="25"/>
      <c r="T16" s="25"/>
    </row>
    <row r="17" spans="1:21" s="25" customFormat="1" ht="12.6" customHeight="1" x14ac:dyDescent="0.2">
      <c r="A17" s="120"/>
      <c r="B17" s="302"/>
      <c r="C17" s="90"/>
      <c r="D17" s="90"/>
      <c r="E17" s="90" t="s">
        <v>206</v>
      </c>
      <c r="F17" s="390">
        <v>0.3</v>
      </c>
      <c r="G17" s="86">
        <v>22</v>
      </c>
      <c r="H17" s="90"/>
      <c r="I17" s="90" t="s">
        <v>206</v>
      </c>
      <c r="J17" s="412">
        <v>0.3</v>
      </c>
      <c r="K17" s="361">
        <v>0</v>
      </c>
      <c r="L17" s="90"/>
      <c r="M17" s="90" t="s">
        <v>206</v>
      </c>
      <c r="N17" s="412">
        <v>0.3</v>
      </c>
      <c r="O17" s="322">
        <f>G17+K17</f>
        <v>22</v>
      </c>
      <c r="P17" s="90"/>
      <c r="Q17" s="280"/>
      <c r="R17" s="120"/>
      <c r="S17" s="120"/>
      <c r="T17" s="120"/>
    </row>
    <row r="18" spans="1:21" ht="12.6" customHeight="1" x14ac:dyDescent="0.2">
      <c r="B18" s="302"/>
      <c r="C18" s="90"/>
      <c r="D18" s="90"/>
      <c r="E18" s="90" t="s">
        <v>207</v>
      </c>
      <c r="F18" s="390">
        <v>1.2</v>
      </c>
      <c r="G18" s="86">
        <v>9</v>
      </c>
      <c r="H18" s="90"/>
      <c r="I18" s="90" t="s">
        <v>207</v>
      </c>
      <c r="J18" s="412">
        <v>1.2</v>
      </c>
      <c r="K18" s="361">
        <v>0</v>
      </c>
      <c r="L18" s="90"/>
      <c r="M18" s="90" t="s">
        <v>207</v>
      </c>
      <c r="N18" s="412">
        <v>1.2</v>
      </c>
      <c r="O18" s="322">
        <f>G18+K18</f>
        <v>9</v>
      </c>
      <c r="P18" s="90"/>
      <c r="Q18" s="280"/>
    </row>
    <row r="19" spans="1:21" ht="12.6" customHeight="1" x14ac:dyDescent="0.2">
      <c r="A19" s="25"/>
      <c r="B19" s="32"/>
      <c r="C19" s="44"/>
      <c r="D19" s="44"/>
      <c r="E19" s="44" t="s">
        <v>208</v>
      </c>
      <c r="F19" s="391">
        <f>SUM(G17:G18)</f>
        <v>31</v>
      </c>
      <c r="G19" s="101">
        <f>ROUND(IF(G21&gt;G16*0.8,G16*0.8,G21),0)</f>
        <v>11</v>
      </c>
      <c r="H19" s="44"/>
      <c r="I19" s="44" t="s">
        <v>208</v>
      </c>
      <c r="J19" s="403">
        <f>SUM(K17:K18)</f>
        <v>0</v>
      </c>
      <c r="K19" s="101">
        <f>ROUND(IF(K21&gt;K16*0.8,K16*0.8,K21),0)</f>
        <v>0</v>
      </c>
      <c r="L19" s="44"/>
      <c r="M19" s="44" t="s">
        <v>208</v>
      </c>
      <c r="N19" s="388">
        <f>SUM(O17:O18)</f>
        <v>31</v>
      </c>
      <c r="O19" s="101">
        <f>ROUND(IF(O21&gt;O16*0.8,O16*0.8,O21),0)</f>
        <v>11</v>
      </c>
      <c r="P19" s="44"/>
      <c r="Q19" s="33"/>
      <c r="R19" s="25"/>
      <c r="S19" s="25"/>
      <c r="T19" s="25"/>
    </row>
    <row r="20" spans="1:21" s="25" customFormat="1" ht="12.6" customHeight="1" x14ac:dyDescent="0.2">
      <c r="A20" s="120"/>
      <c r="B20" s="302"/>
      <c r="C20" s="90"/>
      <c r="D20" s="90"/>
      <c r="E20" s="90" t="s">
        <v>85</v>
      </c>
      <c r="F20" s="388"/>
      <c r="G20" s="86" t="s">
        <v>187</v>
      </c>
      <c r="H20" s="90"/>
      <c r="I20" s="90" t="s">
        <v>85</v>
      </c>
      <c r="J20" s="388"/>
      <c r="K20" s="86" t="s">
        <v>79</v>
      </c>
      <c r="L20" s="90"/>
      <c r="M20" s="90" t="s">
        <v>85</v>
      </c>
      <c r="N20" s="388"/>
      <c r="O20" s="322" t="str">
        <f>G20</f>
        <v>ja</v>
      </c>
      <c r="P20" s="90"/>
      <c r="Q20" s="280"/>
      <c r="R20" s="120"/>
      <c r="S20" s="120"/>
      <c r="T20" s="447"/>
      <c r="U20" s="120"/>
    </row>
    <row r="21" spans="1:21" ht="12.6" customHeight="1" x14ac:dyDescent="0.2">
      <c r="B21" s="302"/>
      <c r="C21" s="90"/>
      <c r="D21" s="90"/>
      <c r="E21" s="90"/>
      <c r="F21" s="388"/>
      <c r="G21" s="381">
        <f>ROUND(IF((F17*G17+F18*G18-tab!$D$23*G16)&lt;0,0,F17*G17+F18*G18-tab!$D$23*G16),0)</f>
        <v>11</v>
      </c>
      <c r="H21" s="90"/>
      <c r="I21" s="90"/>
      <c r="J21" s="388"/>
      <c r="K21" s="381">
        <f>ROUND(IF((J17*K17+J18*K18-tab!$D$23*K16)&lt;0,0,J17*K17+J18*K18-tab!$D$23*K16),0)</f>
        <v>0</v>
      </c>
      <c r="L21" s="90"/>
      <c r="M21" s="90"/>
      <c r="N21" s="388"/>
      <c r="O21" s="381">
        <f>ROUND(IF((N17*O17+N18*O18-tab!$D$23*O16)&lt;0,0,N17*O17+N18*O18-tab!$D$23*O16),0)</f>
        <v>11</v>
      </c>
      <c r="P21" s="90"/>
      <c r="Q21" s="280"/>
    </row>
    <row r="22" spans="1:21" ht="12.6" customHeight="1" x14ac:dyDescent="0.2">
      <c r="B22" s="302"/>
      <c r="C22" s="90"/>
      <c r="D22" s="90"/>
      <c r="E22" s="90" t="s">
        <v>15</v>
      </c>
      <c r="F22" s="388"/>
      <c r="G22" s="419">
        <f>ROUND(+'berekeningen bij fusie'!G16,2)</f>
        <v>45095.96</v>
      </c>
      <c r="H22" s="420"/>
      <c r="I22" s="420" t="s">
        <v>15</v>
      </c>
      <c r="J22" s="421"/>
      <c r="K22" s="419">
        <f>ROUND(IF(K11="nee",0,'berekeningen bij fusie'!K16),2)</f>
        <v>0</v>
      </c>
      <c r="L22" s="420"/>
      <c r="M22" s="420" t="s">
        <v>15</v>
      </c>
      <c r="N22" s="421"/>
      <c r="O22" s="419">
        <f>'berekeningen bij fusie'!O16</f>
        <v>45095.958800000008</v>
      </c>
      <c r="P22" s="90"/>
      <c r="Q22" s="280"/>
    </row>
    <row r="23" spans="1:21" ht="12.6" customHeight="1" x14ac:dyDescent="0.2">
      <c r="B23" s="302"/>
      <c r="C23" s="90"/>
      <c r="D23" s="90"/>
      <c r="E23" s="90" t="s">
        <v>16</v>
      </c>
      <c r="F23" s="388"/>
      <c r="G23" s="419">
        <f>ROUND(+'berekeningen bij fusie'!G19,2)</f>
        <v>37748.76</v>
      </c>
      <c r="H23" s="420"/>
      <c r="I23" s="420" t="s">
        <v>16</v>
      </c>
      <c r="J23" s="421"/>
      <c r="K23" s="419">
        <f>ROUND(IF(K11="nee",0,'berekeningen bij fusie'!K19),2)</f>
        <v>0</v>
      </c>
      <c r="L23" s="420"/>
      <c r="M23" s="420" t="s">
        <v>16</v>
      </c>
      <c r="N23" s="421"/>
      <c r="O23" s="419">
        <f>'berekeningen bij fusie'!O19</f>
        <v>37748.761600000005</v>
      </c>
      <c r="P23" s="90"/>
      <c r="Q23" s="280"/>
    </row>
    <row r="24" spans="1:21" ht="12.6" customHeight="1" x14ac:dyDescent="0.2">
      <c r="B24" s="302"/>
      <c r="C24" s="90"/>
      <c r="D24" s="90"/>
      <c r="E24" s="90" t="s">
        <v>76</v>
      </c>
      <c r="F24" s="388"/>
      <c r="G24" s="419">
        <f>ROUND(+'berekeningen bij fusie'!G20,2)</f>
        <v>61411</v>
      </c>
      <c r="H24" s="420"/>
      <c r="I24" s="420" t="s">
        <v>76</v>
      </c>
      <c r="J24" s="421"/>
      <c r="K24" s="419">
        <f>ROUND(IF(K11="nee",0,'berekeningen bij fusie'!K20),2)</f>
        <v>0</v>
      </c>
      <c r="L24" s="420"/>
      <c r="M24" s="420" t="s">
        <v>76</v>
      </c>
      <c r="N24" s="421"/>
      <c r="O24" s="419">
        <f>'berekeningen bij fusie'!O20</f>
        <v>61411</v>
      </c>
      <c r="P24" s="90"/>
      <c r="Q24" s="280"/>
      <c r="T24" s="447"/>
    </row>
    <row r="25" spans="1:21" ht="12.6" customHeight="1" x14ac:dyDescent="0.2">
      <c r="B25" s="302"/>
      <c r="C25" s="90"/>
      <c r="D25" s="90"/>
      <c r="E25" s="90" t="s">
        <v>18</v>
      </c>
      <c r="F25" s="388"/>
      <c r="G25" s="419">
        <f>ROUND(IF(G16=0,0,'berekeningen bij fusie'!G23),2)</f>
        <v>0</v>
      </c>
      <c r="H25" s="420"/>
      <c r="I25" s="420" t="s">
        <v>18</v>
      </c>
      <c r="J25" s="421"/>
      <c r="K25" s="419">
        <f>ROUND(IF(K11="nee",0,'berekeningen bij fusie'!K23),2)</f>
        <v>0</v>
      </c>
      <c r="L25" s="420"/>
      <c r="M25" s="420" t="s">
        <v>18</v>
      </c>
      <c r="N25" s="421"/>
      <c r="O25" s="419">
        <f>IF(K11="nee",0,ROUND(IF(O16=0,0,'berekeningen bij fusie'!O23),2))</f>
        <v>0</v>
      </c>
      <c r="P25" s="90"/>
      <c r="Q25" s="280"/>
    </row>
    <row r="26" spans="1:21" ht="12.6" customHeight="1" x14ac:dyDescent="0.2">
      <c r="B26" s="302"/>
      <c r="C26" s="90"/>
      <c r="D26" s="90"/>
      <c r="E26" s="44" t="s">
        <v>132</v>
      </c>
      <c r="F26" s="388"/>
      <c r="G26" s="422">
        <f>SUM(G22:G25)</f>
        <v>144255.72</v>
      </c>
      <c r="H26" s="420"/>
      <c r="I26" s="423" t="s">
        <v>132</v>
      </c>
      <c r="J26" s="421"/>
      <c r="K26" s="422">
        <f>SUM(K22:K25)</f>
        <v>0</v>
      </c>
      <c r="L26" s="420"/>
      <c r="M26" s="423" t="s">
        <v>132</v>
      </c>
      <c r="N26" s="421"/>
      <c r="O26" s="422">
        <f>SUM(O22:O25)</f>
        <v>144255.72040000002</v>
      </c>
      <c r="P26" s="90"/>
      <c r="Q26" s="280"/>
    </row>
    <row r="27" spans="1:21" ht="12.6" customHeight="1" x14ac:dyDescent="0.2">
      <c r="A27" s="25"/>
      <c r="B27" s="32"/>
      <c r="C27" s="44"/>
      <c r="D27" s="44"/>
      <c r="E27" s="44" t="s">
        <v>81</v>
      </c>
      <c r="F27" s="389"/>
      <c r="G27" s="422">
        <f>+'berekeningen bij fusie'!G17</f>
        <v>32785.9</v>
      </c>
      <c r="H27" s="423"/>
      <c r="I27" s="423" t="s">
        <v>81</v>
      </c>
      <c r="J27" s="424"/>
      <c r="K27" s="422">
        <f>IF(K11="nee",0,'berekeningen bij fusie'!K17)</f>
        <v>0</v>
      </c>
      <c r="L27" s="423"/>
      <c r="M27" s="423" t="s">
        <v>81</v>
      </c>
      <c r="N27" s="424"/>
      <c r="O27" s="422">
        <f>'berekeningen bij fusie'!O17</f>
        <v>32785.9</v>
      </c>
      <c r="P27" s="44"/>
      <c r="Q27" s="33"/>
      <c r="R27" s="25"/>
      <c r="S27" s="25"/>
      <c r="T27" s="25"/>
    </row>
    <row r="28" spans="1:21" ht="12.6" customHeight="1" x14ac:dyDescent="0.2">
      <c r="A28" s="25"/>
      <c r="B28" s="32"/>
      <c r="C28" s="44"/>
      <c r="D28" s="44"/>
      <c r="E28" s="44"/>
      <c r="F28" s="389"/>
      <c r="G28" s="425"/>
      <c r="H28" s="423"/>
      <c r="I28" s="423"/>
      <c r="J28" s="424"/>
      <c r="K28" s="425"/>
      <c r="L28" s="423"/>
      <c r="M28" s="423" t="s">
        <v>17</v>
      </c>
      <c r="N28" s="424"/>
      <c r="O28" s="426">
        <f>ROUND(IF(O16=0,0,0.75*('berekeningen bij fusie'!G16+'berekeningen bij fusie'!K16-'berekeningen bij fusie'!O16)),2)</f>
        <v>0</v>
      </c>
      <c r="P28" s="44"/>
      <c r="Q28" s="33"/>
      <c r="R28" s="25"/>
      <c r="S28" s="25"/>
      <c r="T28" s="25"/>
    </row>
    <row r="29" spans="1:21" ht="12.6" customHeight="1" x14ac:dyDescent="0.2">
      <c r="B29" s="302"/>
      <c r="D29" s="312"/>
      <c r="E29" s="315"/>
      <c r="F29" s="392"/>
      <c r="G29" s="315"/>
      <c r="H29" s="315"/>
      <c r="I29" s="315"/>
      <c r="J29" s="393"/>
      <c r="K29" s="315"/>
      <c r="L29" s="356"/>
      <c r="M29" s="316"/>
      <c r="N29" s="393"/>
      <c r="O29" s="357"/>
      <c r="Q29" s="33"/>
    </row>
    <row r="30" spans="1:21" ht="12.6" customHeight="1" x14ac:dyDescent="0.2">
      <c r="B30" s="302"/>
      <c r="C30" s="31"/>
      <c r="D30" s="303"/>
      <c r="E30" s="303"/>
      <c r="F30" s="408"/>
      <c r="G30" s="303"/>
      <c r="H30" s="303"/>
      <c r="I30" s="303"/>
      <c r="J30" s="408"/>
      <c r="K30" s="303"/>
      <c r="L30" s="303"/>
      <c r="M30" s="303"/>
      <c r="N30" s="408"/>
      <c r="O30" s="346"/>
      <c r="P30" s="303"/>
      <c r="Q30" s="33"/>
    </row>
    <row r="31" spans="1:21" ht="12.6" customHeight="1" x14ac:dyDescent="0.2">
      <c r="B31" s="302"/>
      <c r="D31" s="312"/>
      <c r="E31" s="319"/>
      <c r="G31" s="319"/>
      <c r="H31" s="354"/>
      <c r="Q31" s="33"/>
    </row>
    <row r="32" spans="1:21" ht="12.6" customHeight="1" x14ac:dyDescent="0.2">
      <c r="B32" s="302"/>
      <c r="D32" s="92" t="s">
        <v>216</v>
      </c>
      <c r="F32" s="388"/>
      <c r="G32" s="90"/>
      <c r="H32" s="90"/>
      <c r="I32" s="90"/>
      <c r="J32" s="388"/>
      <c r="K32" s="90"/>
      <c r="L32" s="90"/>
      <c r="M32" s="90"/>
      <c r="N32" s="388"/>
      <c r="O32" s="289"/>
      <c r="Q32" s="33"/>
    </row>
    <row r="33" spans="2:24" ht="12.6" customHeight="1" x14ac:dyDescent="0.2">
      <c r="B33" s="302"/>
      <c r="D33" s="90"/>
      <c r="E33" s="44"/>
      <c r="F33" s="388"/>
      <c r="G33" s="90"/>
      <c r="H33" s="90"/>
      <c r="I33" s="90"/>
      <c r="J33" s="388"/>
      <c r="K33" s="90"/>
      <c r="L33" s="90"/>
      <c r="M33" s="90"/>
      <c r="N33" s="388"/>
      <c r="O33" s="289"/>
      <c r="Q33" s="33"/>
    </row>
    <row r="34" spans="2:24" ht="12.6" customHeight="1" x14ac:dyDescent="0.2">
      <c r="B34" s="302"/>
      <c r="D34" s="44" t="s">
        <v>238</v>
      </c>
      <c r="E34" s="248" t="s">
        <v>91</v>
      </c>
      <c r="F34" s="388"/>
      <c r="G34" s="90"/>
      <c r="H34" s="90"/>
      <c r="I34" s="44" t="s">
        <v>19</v>
      </c>
      <c r="J34" s="388"/>
      <c r="K34" s="86" t="s">
        <v>79</v>
      </c>
      <c r="L34" s="90"/>
      <c r="M34" s="44" t="s">
        <v>271</v>
      </c>
      <c r="N34" s="388"/>
      <c r="O34" s="289"/>
      <c r="Q34" s="33"/>
    </row>
    <row r="35" spans="2:24" ht="12.6" customHeight="1" x14ac:dyDescent="0.2">
      <c r="B35" s="302"/>
      <c r="D35" s="44"/>
      <c r="E35" s="90" t="s">
        <v>60</v>
      </c>
      <c r="F35" s="388"/>
      <c r="G35" s="246">
        <v>41.23</v>
      </c>
      <c r="H35" s="90"/>
      <c r="I35" s="90"/>
      <c r="J35" s="388"/>
      <c r="K35" s="90"/>
      <c r="L35" s="44"/>
      <c r="M35" s="44"/>
      <c r="N35" s="389"/>
      <c r="O35" s="288"/>
      <c r="Q35" s="33"/>
    </row>
    <row r="36" spans="2:24" ht="12.6" customHeight="1" x14ac:dyDescent="0.2">
      <c r="B36" s="302"/>
      <c r="D36" s="44"/>
      <c r="E36" s="90" t="s">
        <v>61</v>
      </c>
      <c r="F36" s="388"/>
      <c r="G36" s="247">
        <v>2.1</v>
      </c>
      <c r="H36" s="90"/>
      <c r="I36" s="90"/>
      <c r="J36" s="388"/>
      <c r="K36" s="289"/>
      <c r="L36" s="44"/>
      <c r="M36" s="90"/>
      <c r="N36" s="389"/>
      <c r="O36" s="288"/>
      <c r="Q36" s="33"/>
    </row>
    <row r="37" spans="2:24" ht="12.6" customHeight="1" x14ac:dyDescent="0.2">
      <c r="B37" s="302"/>
      <c r="D37" s="90"/>
      <c r="E37" s="90" t="str">
        <f>"Aantal leerlingen 4 t/m 7 jaar per 1 oktober "&amp;tab!$D$4</f>
        <v>Aantal leerlingen 4 t/m 7 jaar per 1 oktober 2018</v>
      </c>
      <c r="F37" s="388"/>
      <c r="G37" s="86">
        <v>5</v>
      </c>
      <c r="H37" s="90"/>
      <c r="I37" s="90" t="str">
        <f>"Aantal leerlingen 4 t/m 7 jaar per 1 oktober "&amp;tab!$D$4</f>
        <v>Aantal leerlingen 4 t/m 7 jaar per 1 oktober 2018</v>
      </c>
      <c r="J37" s="388"/>
      <c r="K37" s="361">
        <v>0</v>
      </c>
      <c r="L37" s="90"/>
      <c r="M37" s="90" t="str">
        <f>"Aantal leerlingen 4 t/m 7 jaar per 1 oktober "&amp;tab!$D$4</f>
        <v>Aantal leerlingen 4 t/m 7 jaar per 1 oktober 2018</v>
      </c>
      <c r="N37" s="388"/>
      <c r="O37" s="322">
        <f>G37+K37</f>
        <v>5</v>
      </c>
      <c r="Q37" s="33"/>
    </row>
    <row r="38" spans="2:24" ht="12.6" customHeight="1" x14ac:dyDescent="0.2">
      <c r="B38" s="302"/>
      <c r="D38" s="90"/>
      <c r="E38" s="90" t="str">
        <f>"Aantal leerlingen 8 jaar e.o. per 1 oktober "&amp;tab!$D$4</f>
        <v>Aantal leerlingen 8 jaar e.o. per 1 oktober 2018</v>
      </c>
      <c r="F38" s="388"/>
      <c r="G38" s="86">
        <v>9</v>
      </c>
      <c r="H38" s="90"/>
      <c r="I38" s="90" t="str">
        <f>"Aantal leerlingen 8 jaar e.o. per 1 oktober "&amp;tab!$D$4</f>
        <v>Aantal leerlingen 8 jaar e.o. per 1 oktober 2018</v>
      </c>
      <c r="J38" s="388"/>
      <c r="K38" s="361">
        <v>0</v>
      </c>
      <c r="L38" s="90"/>
      <c r="M38" s="90" t="str">
        <f>"Aantal leerlingen 8 jaar e.o. per 1 oktober "&amp;tab!$D$4</f>
        <v>Aantal leerlingen 8 jaar e.o. per 1 oktober 2018</v>
      </c>
      <c r="N38" s="388"/>
      <c r="O38" s="322">
        <f>G38+K38</f>
        <v>9</v>
      </c>
      <c r="Q38" s="33"/>
    </row>
    <row r="39" spans="2:24" ht="12.6" customHeight="1" x14ac:dyDescent="0.2">
      <c r="B39" s="302"/>
      <c r="D39" s="44"/>
      <c r="E39" s="44" t="s">
        <v>5</v>
      </c>
      <c r="F39" s="389"/>
      <c r="G39" s="101">
        <f>SUM(G37:G38)</f>
        <v>14</v>
      </c>
      <c r="H39" s="44"/>
      <c r="I39" s="44" t="s">
        <v>5</v>
      </c>
      <c r="J39" s="388"/>
      <c r="K39" s="101">
        <f>SUM(K37:K38)</f>
        <v>0</v>
      </c>
      <c r="L39" s="44"/>
      <c r="M39" s="44" t="s">
        <v>5</v>
      </c>
      <c r="N39" s="389"/>
      <c r="O39" s="101">
        <f>SUM(O37:O38)</f>
        <v>14</v>
      </c>
      <c r="Q39" s="33"/>
    </row>
    <row r="40" spans="2:24" ht="12.6" customHeight="1" x14ac:dyDescent="0.2">
      <c r="B40" s="302"/>
      <c r="D40" s="90"/>
      <c r="E40" s="90" t="s">
        <v>206</v>
      </c>
      <c r="F40" s="390">
        <v>0.3</v>
      </c>
      <c r="G40" s="86">
        <v>0</v>
      </c>
      <c r="H40" s="90"/>
      <c r="I40" s="90" t="s">
        <v>206</v>
      </c>
      <c r="J40" s="412">
        <v>0.3</v>
      </c>
      <c r="K40" s="361">
        <v>0</v>
      </c>
      <c r="L40" s="90"/>
      <c r="M40" s="90" t="s">
        <v>206</v>
      </c>
      <c r="N40" s="412">
        <v>0.3</v>
      </c>
      <c r="O40" s="322">
        <f>G40+K40</f>
        <v>0</v>
      </c>
      <c r="Q40" s="33"/>
    </row>
    <row r="41" spans="2:24" ht="12.6" customHeight="1" x14ac:dyDescent="0.2">
      <c r="B41" s="302"/>
      <c r="D41" s="90"/>
      <c r="E41" s="90" t="s">
        <v>207</v>
      </c>
      <c r="F41" s="390">
        <v>1.2</v>
      </c>
      <c r="G41" s="86">
        <v>0</v>
      </c>
      <c r="H41" s="90"/>
      <c r="I41" s="90" t="s">
        <v>207</v>
      </c>
      <c r="J41" s="412">
        <v>1.2</v>
      </c>
      <c r="K41" s="361">
        <v>0</v>
      </c>
      <c r="L41" s="90"/>
      <c r="M41" s="90" t="s">
        <v>207</v>
      </c>
      <c r="N41" s="412">
        <v>1.2</v>
      </c>
      <c r="O41" s="322">
        <f>G41+K41</f>
        <v>0</v>
      </c>
      <c r="Q41" s="33"/>
    </row>
    <row r="42" spans="2:24" ht="12.6" customHeight="1" x14ac:dyDescent="0.2">
      <c r="B42" s="302"/>
      <c r="D42" s="44"/>
      <c r="E42" s="44" t="s">
        <v>70</v>
      </c>
      <c r="F42" s="391">
        <f>SUM(G40:G41)</f>
        <v>0</v>
      </c>
      <c r="G42" s="101">
        <f>ROUND(IF(G44&gt;G39*0.8,G39*0.8,G44),0)</f>
        <v>0</v>
      </c>
      <c r="H42" s="44"/>
      <c r="I42" s="44" t="s">
        <v>208</v>
      </c>
      <c r="J42" s="403">
        <f>SUM(K40:K41)</f>
        <v>0</v>
      </c>
      <c r="K42" s="101">
        <f>ROUND(IF(K44&gt;K39*0.8,K39*0.8,K44),0)</f>
        <v>0</v>
      </c>
      <c r="L42" s="44"/>
      <c r="M42" s="44" t="s">
        <v>208</v>
      </c>
      <c r="N42" s="388">
        <f>SUM(O40:O41)</f>
        <v>0</v>
      </c>
      <c r="O42" s="101">
        <f>ROUND(IF(O44&gt;O39*0.8,O39*0.8,O44),0)</f>
        <v>0</v>
      </c>
      <c r="Q42" s="33"/>
    </row>
    <row r="43" spans="2:24" ht="12.6" customHeight="1" x14ac:dyDescent="0.2">
      <c r="B43" s="302"/>
      <c r="D43" s="90"/>
      <c r="E43" s="90" t="s">
        <v>85</v>
      </c>
      <c r="F43" s="388"/>
      <c r="G43" s="86" t="s">
        <v>79</v>
      </c>
      <c r="H43" s="90"/>
      <c r="I43" s="90" t="s">
        <v>85</v>
      </c>
      <c r="J43" s="388"/>
      <c r="K43" s="86" t="s">
        <v>79</v>
      </c>
      <c r="L43" s="90"/>
      <c r="M43" s="90" t="s">
        <v>85</v>
      </c>
      <c r="N43" s="388"/>
      <c r="O43" s="322" t="str">
        <f>G43</f>
        <v>nee</v>
      </c>
      <c r="Q43" s="33"/>
      <c r="U43" s="447"/>
    </row>
    <row r="44" spans="2:24" ht="12.6" customHeight="1" x14ac:dyDescent="0.2">
      <c r="B44" s="302"/>
      <c r="D44" s="90"/>
      <c r="E44" s="90"/>
      <c r="F44" s="388"/>
      <c r="G44" s="381">
        <f>ROUND(IF((F40*G40+F41*G41-tab!$D23*G39)&lt;0,0,F40*G40+F41*G41-tab!$D23*G39),0)</f>
        <v>0</v>
      </c>
      <c r="H44" s="90"/>
      <c r="I44" s="90"/>
      <c r="J44" s="388"/>
      <c r="K44" s="381">
        <f>ROUND(IF((J40*K40+J41*K41-tab!$D23*K39)&lt;0,0,J40*K40+J41*K41-tab!$D23*K39),0)</f>
        <v>0</v>
      </c>
      <c r="L44" s="90"/>
      <c r="M44" s="90"/>
      <c r="N44" s="388"/>
      <c r="O44" s="381">
        <f>ROUND(IF((N40*O40+N41*O41-tab!$D$23*O39)&lt;0,0,N40*O40+N41*O41-tab!$D$23*O39),0)</f>
        <v>0</v>
      </c>
      <c r="Q44" s="33"/>
    </row>
    <row r="45" spans="2:24" ht="12.6" customHeight="1" x14ac:dyDescent="0.2">
      <c r="B45" s="302"/>
      <c r="D45" s="90"/>
      <c r="E45" s="90" t="s">
        <v>15</v>
      </c>
      <c r="F45" s="388"/>
      <c r="G45" s="419">
        <f>ROUND(+'berekeningen bij fusie'!G35,2)</f>
        <v>134026.96</v>
      </c>
      <c r="H45" s="420"/>
      <c r="I45" s="90" t="s">
        <v>15</v>
      </c>
      <c r="J45" s="421"/>
      <c r="K45" s="419">
        <f>ROUND(IF(K34="nee",0,'berekeningen bij fusie'!K35),2)</f>
        <v>0</v>
      </c>
      <c r="L45" s="420"/>
      <c r="M45" s="420" t="s">
        <v>15</v>
      </c>
      <c r="N45" s="421"/>
      <c r="O45" s="419">
        <f>'berekeningen bij fusie'!O35</f>
        <v>134026.96</v>
      </c>
      <c r="Q45" s="33"/>
      <c r="R45" s="317"/>
      <c r="V45" s="318"/>
      <c r="X45" s="25"/>
    </row>
    <row r="46" spans="2:24" ht="12.6" customHeight="1" x14ac:dyDescent="0.2">
      <c r="B46" s="302"/>
      <c r="D46" s="90"/>
      <c r="E46" s="90" t="s">
        <v>16</v>
      </c>
      <c r="F46" s="388"/>
      <c r="G46" s="419">
        <f>ROUND(+'berekeningen bij fusie'!G38,2)</f>
        <v>0</v>
      </c>
      <c r="H46" s="420"/>
      <c r="I46" s="90" t="s">
        <v>16</v>
      </c>
      <c r="J46" s="421"/>
      <c r="K46" s="419">
        <f>ROUND(IF(K34="nee",0,'berekeningen bij fusie'!K38),2)</f>
        <v>0</v>
      </c>
      <c r="L46" s="420"/>
      <c r="M46" s="420" t="s">
        <v>16</v>
      </c>
      <c r="N46" s="421"/>
      <c r="O46" s="419">
        <f>'berekeningen bij fusie'!O38</f>
        <v>0</v>
      </c>
      <c r="Q46" s="33"/>
      <c r="R46" s="317"/>
      <c r="V46" s="318"/>
      <c r="X46" s="25"/>
    </row>
    <row r="47" spans="2:24" ht="12.6" customHeight="1" x14ac:dyDescent="0.2">
      <c r="B47" s="302"/>
      <c r="D47" s="90"/>
      <c r="E47" s="90" t="s">
        <v>76</v>
      </c>
      <c r="F47" s="388"/>
      <c r="G47" s="419">
        <f>ROUND(+'berekeningen bij fusie'!G39,2)</f>
        <v>0</v>
      </c>
      <c r="H47" s="420"/>
      <c r="I47" s="90" t="s">
        <v>76</v>
      </c>
      <c r="J47" s="421"/>
      <c r="K47" s="419">
        <f>ROUND(IF(K34="nee",0,'berekeningen bij fusie'!K39),2)</f>
        <v>0</v>
      </c>
      <c r="L47" s="420"/>
      <c r="M47" s="420" t="s">
        <v>76</v>
      </c>
      <c r="N47" s="421"/>
      <c r="O47" s="419">
        <f>'berekeningen bij fusie'!O39</f>
        <v>0</v>
      </c>
      <c r="Q47" s="33"/>
      <c r="R47" s="317"/>
      <c r="V47" s="318"/>
      <c r="X47" s="25"/>
    </row>
    <row r="48" spans="2:24" ht="12.6" customHeight="1" x14ac:dyDescent="0.2">
      <c r="B48" s="302"/>
      <c r="D48" s="90"/>
      <c r="E48" s="90" t="s">
        <v>18</v>
      </c>
      <c r="F48" s="388"/>
      <c r="G48" s="419">
        <f>ROUND(IF(G39=0,0,'berekeningen bij fusie'!G42),2)</f>
        <v>5546.16</v>
      </c>
      <c r="H48" s="420"/>
      <c r="I48" s="90" t="s">
        <v>18</v>
      </c>
      <c r="J48" s="421"/>
      <c r="K48" s="419">
        <f>ROUND(IF(K34="nee",0,'berekeningen bij fusie'!K42),2)</f>
        <v>0</v>
      </c>
      <c r="L48" s="420"/>
      <c r="M48" s="420" t="s">
        <v>18</v>
      </c>
      <c r="N48" s="421"/>
      <c r="O48" s="419">
        <f>ROUND(IF(O39=0,0,'berekeningen bij fusie'!O42),2)</f>
        <v>5546.16</v>
      </c>
      <c r="Q48" s="33"/>
    </row>
    <row r="49" spans="1:30" ht="12.6" customHeight="1" x14ac:dyDescent="0.2">
      <c r="B49" s="302"/>
      <c r="D49" s="90"/>
      <c r="E49" s="44" t="s">
        <v>133</v>
      </c>
      <c r="F49" s="388"/>
      <c r="G49" s="422">
        <f>SUM(G45:G48)</f>
        <v>139573.12</v>
      </c>
      <c r="H49" s="420"/>
      <c r="I49" s="44" t="s">
        <v>213</v>
      </c>
      <c r="J49" s="421"/>
      <c r="K49" s="422">
        <f>SUM(K45:K48)</f>
        <v>0</v>
      </c>
      <c r="L49" s="420"/>
      <c r="M49" s="423" t="s">
        <v>132</v>
      </c>
      <c r="N49" s="421"/>
      <c r="O49" s="422">
        <f>SUM(O45:O48)</f>
        <v>139573.12</v>
      </c>
      <c r="Q49" s="33"/>
    </row>
    <row r="50" spans="1:30" ht="12.6" customHeight="1" x14ac:dyDescent="0.2">
      <c r="B50" s="302"/>
      <c r="D50" s="44"/>
      <c r="E50" s="44" t="s">
        <v>81</v>
      </c>
      <c r="F50" s="389"/>
      <c r="G50" s="422">
        <f>+'berekeningen bij fusie'!G36</f>
        <v>17809.95</v>
      </c>
      <c r="H50" s="423"/>
      <c r="I50" s="44" t="s">
        <v>81</v>
      </c>
      <c r="J50" s="424"/>
      <c r="K50" s="422">
        <f>'berekeningen bij fusie'!K36</f>
        <v>0</v>
      </c>
      <c r="L50" s="423"/>
      <c r="M50" s="423" t="s">
        <v>81</v>
      </c>
      <c r="N50" s="424"/>
      <c r="O50" s="422">
        <f>'berekeningen bij fusie'!O36</f>
        <v>17809.95</v>
      </c>
      <c r="Q50" s="33"/>
    </row>
    <row r="51" spans="1:30" ht="12.6" customHeight="1" x14ac:dyDescent="0.2">
      <c r="B51" s="302"/>
      <c r="D51" s="44"/>
      <c r="E51" s="44"/>
      <c r="F51" s="389"/>
      <c r="G51" s="425"/>
      <c r="H51" s="423"/>
      <c r="I51" s="423"/>
      <c r="J51" s="424"/>
      <c r="K51" s="425"/>
      <c r="L51" s="423"/>
      <c r="M51" s="423" t="s">
        <v>17</v>
      </c>
      <c r="N51" s="424"/>
      <c r="O51" s="426">
        <f>ROUND(IF(O39=0,0,0.75*('berekeningen bij fusie'!G35+'berekeningen bij fusie'!K35-'berekeningen bij fusie'!O35)),2)</f>
        <v>0</v>
      </c>
      <c r="Q51" s="33"/>
    </row>
    <row r="52" spans="1:30" ht="12.6" customHeight="1" x14ac:dyDescent="0.2">
      <c r="B52" s="302"/>
      <c r="D52" s="414"/>
      <c r="E52" s="414"/>
      <c r="F52" s="415"/>
      <c r="G52" s="414"/>
      <c r="H52" s="416"/>
      <c r="I52" s="416"/>
      <c r="J52" s="415"/>
      <c r="K52" s="416"/>
      <c r="L52" s="416"/>
      <c r="M52" s="416"/>
      <c r="N52" s="415"/>
      <c r="O52" s="417"/>
      <c r="Q52" s="33"/>
    </row>
    <row r="53" spans="1:30" ht="12.6" customHeight="1" x14ac:dyDescent="0.2">
      <c r="B53" s="302"/>
      <c r="D53" s="312"/>
      <c r="E53" s="161"/>
      <c r="G53" s="161"/>
      <c r="Q53" s="33"/>
    </row>
    <row r="54" spans="1:30" ht="12.6" customHeight="1" x14ac:dyDescent="0.2">
      <c r="B54" s="302"/>
      <c r="D54" s="44" t="s">
        <v>239</v>
      </c>
      <c r="E54" s="248" t="s">
        <v>270</v>
      </c>
      <c r="F54" s="388"/>
      <c r="G54" s="90"/>
      <c r="H54" s="90"/>
      <c r="I54" s="44" t="s">
        <v>19</v>
      </c>
      <c r="J54" s="388"/>
      <c r="K54" s="86" t="s">
        <v>79</v>
      </c>
      <c r="L54" s="90"/>
      <c r="M54" s="44" t="s">
        <v>271</v>
      </c>
      <c r="N54" s="388"/>
      <c r="O54" s="289"/>
      <c r="Q54" s="280"/>
    </row>
    <row r="55" spans="1:30" ht="12.6" customHeight="1" x14ac:dyDescent="0.2">
      <c r="B55" s="302"/>
      <c r="D55" s="44"/>
      <c r="E55" s="90" t="s">
        <v>60</v>
      </c>
      <c r="F55" s="388"/>
      <c r="G55" s="246">
        <v>0</v>
      </c>
      <c r="H55" s="90"/>
      <c r="I55" s="90"/>
      <c r="J55" s="388"/>
      <c r="K55" s="90"/>
      <c r="L55" s="44"/>
      <c r="M55" s="44"/>
      <c r="N55" s="389"/>
      <c r="O55" s="288"/>
      <c r="Q55" s="280"/>
    </row>
    <row r="56" spans="1:30" ht="12.6" customHeight="1" x14ac:dyDescent="0.2">
      <c r="B56" s="302"/>
      <c r="D56" s="44"/>
      <c r="E56" s="90" t="s">
        <v>61</v>
      </c>
      <c r="F56" s="388"/>
      <c r="G56" s="247">
        <v>0</v>
      </c>
      <c r="H56" s="90"/>
      <c r="I56" s="90"/>
      <c r="J56" s="388"/>
      <c r="K56" s="289"/>
      <c r="L56" s="44"/>
      <c r="M56" s="44"/>
      <c r="N56" s="389"/>
      <c r="O56" s="288"/>
      <c r="Q56" s="280"/>
    </row>
    <row r="57" spans="1:30" ht="12.6" customHeight="1" x14ac:dyDescent="0.2">
      <c r="B57" s="302"/>
      <c r="D57" s="90"/>
      <c r="E57" s="90" t="str">
        <f>"Aantal leerlingen 4 t/m 7 jaar per 1 oktober "&amp;tab!$D$4</f>
        <v>Aantal leerlingen 4 t/m 7 jaar per 1 oktober 2018</v>
      </c>
      <c r="F57" s="388"/>
      <c r="G57" s="86">
        <v>0</v>
      </c>
      <c r="H57" s="90"/>
      <c r="I57" s="90" t="str">
        <f>"Aantal leerlingen 4 t/m 7 jaar per 1 oktober "&amp;tab!$D$4</f>
        <v>Aantal leerlingen 4 t/m 7 jaar per 1 oktober 2018</v>
      </c>
      <c r="J57" s="388"/>
      <c r="K57" s="361">
        <v>0</v>
      </c>
      <c r="L57" s="90"/>
      <c r="M57" s="90" t="str">
        <f>"Aantal leerlingen 4 t/m 7 jaar per 1 oktober "&amp;tab!$D$4</f>
        <v>Aantal leerlingen 4 t/m 7 jaar per 1 oktober 2018</v>
      </c>
      <c r="N57" s="388"/>
      <c r="O57" s="322">
        <f>G57+K57</f>
        <v>0</v>
      </c>
      <c r="Q57" s="280"/>
    </row>
    <row r="58" spans="1:30" ht="12.6" customHeight="1" x14ac:dyDescent="0.2">
      <c r="B58" s="302"/>
      <c r="D58" s="90"/>
      <c r="E58" s="90" t="str">
        <f>"Aantal leerlingen 8 jaar e.o. per 1 oktober "&amp;tab!$D$4</f>
        <v>Aantal leerlingen 8 jaar e.o. per 1 oktober 2018</v>
      </c>
      <c r="F58" s="388"/>
      <c r="G58" s="86">
        <v>0</v>
      </c>
      <c r="H58" s="90"/>
      <c r="I58" s="90" t="str">
        <f>"Aantal leerlingen 8 jaar e.o. per 1 oktober "&amp;tab!$D$4</f>
        <v>Aantal leerlingen 8 jaar e.o. per 1 oktober 2018</v>
      </c>
      <c r="J58" s="388"/>
      <c r="K58" s="361">
        <v>0</v>
      </c>
      <c r="L58" s="90"/>
      <c r="M58" s="90" t="str">
        <f>"Aantal leerlingen 8 jaar e.o. per 1 oktober "&amp;tab!$D$4</f>
        <v>Aantal leerlingen 8 jaar e.o. per 1 oktober 2018</v>
      </c>
      <c r="N58" s="388"/>
      <c r="O58" s="322">
        <f>G58+K58</f>
        <v>0</v>
      </c>
      <c r="Q58" s="280"/>
    </row>
    <row r="59" spans="1:30" ht="12.6" customHeight="1" x14ac:dyDescent="0.2">
      <c r="A59" s="25"/>
      <c r="B59" s="32"/>
      <c r="C59" s="25"/>
      <c r="D59" s="44"/>
      <c r="E59" s="44" t="s">
        <v>5</v>
      </c>
      <c r="F59" s="389"/>
      <c r="G59" s="101">
        <f>SUM(G57:G58)</f>
        <v>0</v>
      </c>
      <c r="H59" s="44"/>
      <c r="I59" s="44" t="s">
        <v>5</v>
      </c>
      <c r="J59" s="388"/>
      <c r="K59" s="101">
        <f>SUM(K57:K58)</f>
        <v>0</v>
      </c>
      <c r="L59" s="44"/>
      <c r="M59" s="44" t="s">
        <v>5</v>
      </c>
      <c r="N59" s="389"/>
      <c r="O59" s="101">
        <f>SUM(O57:O58)</f>
        <v>0</v>
      </c>
      <c r="Q59" s="280"/>
    </row>
    <row r="60" spans="1:30" ht="12.6" customHeight="1" x14ac:dyDescent="0.2">
      <c r="B60" s="302"/>
      <c r="D60" s="90"/>
      <c r="E60" s="90" t="s">
        <v>206</v>
      </c>
      <c r="F60" s="390">
        <v>0.3</v>
      </c>
      <c r="G60" s="86">
        <v>0</v>
      </c>
      <c r="H60" s="90"/>
      <c r="I60" s="90" t="s">
        <v>206</v>
      </c>
      <c r="J60" s="412">
        <v>0.3</v>
      </c>
      <c r="K60" s="361">
        <v>0</v>
      </c>
      <c r="L60" s="90"/>
      <c r="M60" s="90" t="s">
        <v>206</v>
      </c>
      <c r="N60" s="412">
        <v>0.3</v>
      </c>
      <c r="O60" s="322">
        <f>G60+K60</f>
        <v>0</v>
      </c>
      <c r="Q60" s="280"/>
    </row>
    <row r="61" spans="1:30" s="25" customFormat="1" ht="12.6" customHeight="1" x14ac:dyDescent="0.2">
      <c r="A61" s="120"/>
      <c r="B61" s="302"/>
      <c r="C61" s="120"/>
      <c r="D61" s="90"/>
      <c r="E61" s="90" t="s">
        <v>207</v>
      </c>
      <c r="F61" s="390">
        <v>1.2</v>
      </c>
      <c r="G61" s="86">
        <v>0</v>
      </c>
      <c r="H61" s="90"/>
      <c r="I61" s="90" t="s">
        <v>207</v>
      </c>
      <c r="J61" s="412">
        <v>1.2</v>
      </c>
      <c r="K61" s="361">
        <v>0</v>
      </c>
      <c r="L61" s="90"/>
      <c r="M61" s="90" t="s">
        <v>207</v>
      </c>
      <c r="N61" s="412">
        <v>1.2</v>
      </c>
      <c r="O61" s="322">
        <f>G61+K61</f>
        <v>0</v>
      </c>
      <c r="Q61" s="33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</row>
    <row r="62" spans="1:30" s="25" customFormat="1" ht="12.6" customHeight="1" x14ac:dyDescent="0.2">
      <c r="A62" s="120"/>
      <c r="B62" s="302"/>
      <c r="C62" s="120"/>
      <c r="D62" s="44"/>
      <c r="E62" s="44" t="s">
        <v>70</v>
      </c>
      <c r="F62" s="391">
        <f>SUM(G60:G61)</f>
        <v>0</v>
      </c>
      <c r="G62" s="101">
        <f>ROUND(IF(G64&gt;G59*0.8,G59*0.8,G64),0)</f>
        <v>0</v>
      </c>
      <c r="H62" s="44"/>
      <c r="I62" s="44" t="s">
        <v>208</v>
      </c>
      <c r="J62" s="403">
        <f>SUM(K60:K61)</f>
        <v>0</v>
      </c>
      <c r="K62" s="101">
        <f>ROUND(IF(K64&gt;K59*0.8,K59*0.8,K64),0)</f>
        <v>0</v>
      </c>
      <c r="L62" s="44"/>
      <c r="M62" s="44" t="s">
        <v>208</v>
      </c>
      <c r="N62" s="388">
        <f>SUM(O60:O61)</f>
        <v>0</v>
      </c>
      <c r="O62" s="101">
        <f>ROUND(IF(O64&gt;O59*0.8,O59*0.8,O64),0)</f>
        <v>0</v>
      </c>
      <c r="P62" s="120"/>
      <c r="Q62" s="33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</row>
    <row r="63" spans="1:30" s="25" customFormat="1" ht="12.6" customHeight="1" x14ac:dyDescent="0.2">
      <c r="B63" s="32"/>
      <c r="D63" s="90"/>
      <c r="E63" s="90" t="s">
        <v>85</v>
      </c>
      <c r="F63" s="388"/>
      <c r="G63" s="86" t="s">
        <v>79</v>
      </c>
      <c r="H63" s="90"/>
      <c r="I63" s="90" t="s">
        <v>85</v>
      </c>
      <c r="J63" s="388"/>
      <c r="K63" s="86" t="s">
        <v>79</v>
      </c>
      <c r="L63" s="90"/>
      <c r="M63" s="90" t="s">
        <v>85</v>
      </c>
      <c r="N63" s="388"/>
      <c r="O63" s="322" t="str">
        <f>G63</f>
        <v>nee</v>
      </c>
      <c r="P63" s="120"/>
      <c r="Q63" s="33"/>
      <c r="T63" s="447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</row>
    <row r="64" spans="1:30" s="25" customFormat="1" ht="12.6" customHeight="1" x14ac:dyDescent="0.2">
      <c r="A64" s="120"/>
      <c r="B64" s="302"/>
      <c r="C64" s="120"/>
      <c r="D64" s="90"/>
      <c r="E64" s="90"/>
      <c r="F64" s="388"/>
      <c r="G64" s="381">
        <f>ROUND(IF((F60*G60+F61*G61-tab!$D$23*G59)&lt;0,0,F60*G60+F61*G61-tab!$D$23*G59),0)</f>
        <v>0</v>
      </c>
      <c r="H64" s="90"/>
      <c r="I64" s="90"/>
      <c r="J64" s="388"/>
      <c r="K64" s="381">
        <f>ROUND(IF((J60*K60+J61*K61-tab!$D$23*K59)&lt;0,0,J60*K60+J61*K61-tab!$D$23*K59),0)</f>
        <v>0</v>
      </c>
      <c r="L64" s="90"/>
      <c r="M64" s="90"/>
      <c r="N64" s="388"/>
      <c r="O64" s="381">
        <f>ROUND(IF((N60*O60+N61*O61-tab!$D$23*O59)&lt;0,0,N60*O60+N61*O61-tab!$D$23*O59),0)</f>
        <v>0</v>
      </c>
      <c r="Q64" s="33"/>
    </row>
    <row r="65" spans="1:25" ht="12.6" customHeight="1" x14ac:dyDescent="0.2">
      <c r="B65" s="302"/>
      <c r="D65" s="90"/>
      <c r="E65" s="90" t="s">
        <v>15</v>
      </c>
      <c r="F65" s="388"/>
      <c r="G65" s="419">
        <f>'berekeningen bij fusie'!G51</f>
        <v>0</v>
      </c>
      <c r="H65" s="420"/>
      <c r="I65" s="90" t="s">
        <v>15</v>
      </c>
      <c r="J65" s="421"/>
      <c r="K65" s="419">
        <f>ROUND(IF(K54="nee",0,'berekeningen bij fusie'!K51),2)</f>
        <v>0</v>
      </c>
      <c r="L65" s="420"/>
      <c r="M65" s="420" t="s">
        <v>15</v>
      </c>
      <c r="N65" s="421"/>
      <c r="O65" s="419">
        <f>'berekeningen bij fusie'!O51</f>
        <v>0</v>
      </c>
      <c r="Q65" s="280"/>
    </row>
    <row r="66" spans="1:25" ht="12.6" customHeight="1" x14ac:dyDescent="0.2">
      <c r="A66" s="25"/>
      <c r="B66" s="32"/>
      <c r="C66" s="25"/>
      <c r="D66" s="90"/>
      <c r="E66" s="90" t="s">
        <v>16</v>
      </c>
      <c r="F66" s="388"/>
      <c r="G66" s="419">
        <f>'berekeningen bij fusie'!G54</f>
        <v>0</v>
      </c>
      <c r="H66" s="420"/>
      <c r="I66" s="90" t="s">
        <v>16</v>
      </c>
      <c r="J66" s="421"/>
      <c r="K66" s="419">
        <f>ROUND(IF(K54="nee",0,'berekeningen bij fusie'!K54),2)</f>
        <v>0</v>
      </c>
      <c r="L66" s="420"/>
      <c r="M66" s="420" t="s">
        <v>16</v>
      </c>
      <c r="N66" s="421"/>
      <c r="O66" s="419">
        <f>'berekeningen bij fusie'!O54</f>
        <v>0</v>
      </c>
      <c r="Q66" s="280"/>
    </row>
    <row r="67" spans="1:25" s="25" customFormat="1" ht="12.6" customHeight="1" x14ac:dyDescent="0.2">
      <c r="A67" s="120"/>
      <c r="B67" s="302"/>
      <c r="C67" s="120"/>
      <c r="D67" s="90"/>
      <c r="E67" s="90" t="s">
        <v>76</v>
      </c>
      <c r="F67" s="388"/>
      <c r="G67" s="419">
        <f>ROUND(+'berekeningen bij fusie'!G55,2)</f>
        <v>0</v>
      </c>
      <c r="H67" s="420"/>
      <c r="I67" s="90" t="s">
        <v>76</v>
      </c>
      <c r="J67" s="421"/>
      <c r="K67" s="419">
        <f>ROUND(IF(K54="nee",0,'berekeningen bij fusie'!K55),2)</f>
        <v>0</v>
      </c>
      <c r="L67" s="420"/>
      <c r="M67" s="420" t="s">
        <v>76</v>
      </c>
      <c r="N67" s="421"/>
      <c r="O67" s="419">
        <f>'berekeningen bij fusie'!O55</f>
        <v>0</v>
      </c>
      <c r="P67" s="120"/>
      <c r="Q67" s="33"/>
      <c r="R67" s="120"/>
      <c r="S67" s="120"/>
      <c r="T67" s="120"/>
      <c r="U67" s="120"/>
      <c r="V67" s="120"/>
      <c r="W67" s="318"/>
      <c r="X67" s="120"/>
    </row>
    <row r="68" spans="1:25" ht="12.6" customHeight="1" x14ac:dyDescent="0.2">
      <c r="A68" s="25"/>
      <c r="B68" s="32"/>
      <c r="C68" s="25"/>
      <c r="D68" s="90"/>
      <c r="E68" s="90" t="s">
        <v>18</v>
      </c>
      <c r="F68" s="388"/>
      <c r="G68" s="419">
        <f>ROUND(IF(G59=0,0,'berekeningen bij fusie'!G58),2)</f>
        <v>0</v>
      </c>
      <c r="H68" s="420"/>
      <c r="I68" s="90" t="s">
        <v>18</v>
      </c>
      <c r="J68" s="421"/>
      <c r="K68" s="419">
        <f>ROUND(IF(K54="nee",0,'berekeningen bij fusie'!K58),2)</f>
        <v>0</v>
      </c>
      <c r="L68" s="420"/>
      <c r="M68" s="420" t="s">
        <v>18</v>
      </c>
      <c r="N68" s="421"/>
      <c r="O68" s="419">
        <f>'berekeningen bij fusie'!O58</f>
        <v>0</v>
      </c>
      <c r="Q68" s="33"/>
      <c r="R68" s="25"/>
      <c r="S68" s="25"/>
      <c r="T68" s="25"/>
      <c r="U68" s="25"/>
      <c r="V68" s="25"/>
      <c r="W68" s="295"/>
    </row>
    <row r="69" spans="1:25" ht="12.6" customHeight="1" x14ac:dyDescent="0.2">
      <c r="B69" s="302"/>
      <c r="D69" s="90"/>
      <c r="E69" s="44" t="s">
        <v>134</v>
      </c>
      <c r="F69" s="388"/>
      <c r="G69" s="422">
        <f>SUM(G65:G68)</f>
        <v>0</v>
      </c>
      <c r="H69" s="420"/>
      <c r="I69" s="44" t="s">
        <v>213</v>
      </c>
      <c r="J69" s="421"/>
      <c r="K69" s="422">
        <f>SUM(K67:K68)</f>
        <v>0</v>
      </c>
      <c r="L69" s="420"/>
      <c r="M69" s="423" t="s">
        <v>132</v>
      </c>
      <c r="N69" s="421"/>
      <c r="O69" s="422">
        <f>SUM(O65:O68)</f>
        <v>0</v>
      </c>
      <c r="Q69" s="33"/>
      <c r="W69" s="290"/>
    </row>
    <row r="70" spans="1:25" s="25" customFormat="1" ht="12.6" customHeight="1" x14ac:dyDescent="0.2">
      <c r="A70" s="120"/>
      <c r="B70" s="302"/>
      <c r="C70" s="120"/>
      <c r="D70" s="44"/>
      <c r="E70" s="44" t="s">
        <v>81</v>
      </c>
      <c r="F70" s="389"/>
      <c r="G70" s="422">
        <f>+'berekeningen bij fusie'!G52</f>
        <v>0</v>
      </c>
      <c r="H70" s="423"/>
      <c r="I70" s="44" t="s">
        <v>81</v>
      </c>
      <c r="J70" s="424"/>
      <c r="K70" s="422">
        <f>'berekeningen bij fusie'!K52</f>
        <v>0</v>
      </c>
      <c r="L70" s="423"/>
      <c r="M70" s="423" t="s">
        <v>81</v>
      </c>
      <c r="N70" s="424"/>
      <c r="O70" s="422">
        <f>'berekeningen bij fusie'!O52</f>
        <v>0</v>
      </c>
      <c r="P70" s="120"/>
      <c r="Q70" s="33"/>
      <c r="R70" s="120"/>
      <c r="S70" s="120"/>
      <c r="T70" s="120"/>
      <c r="U70" s="120"/>
      <c r="V70" s="120"/>
      <c r="W70" s="290"/>
      <c r="X70" s="120"/>
    </row>
    <row r="71" spans="1:25" ht="12.6" customHeight="1" x14ac:dyDescent="0.2">
      <c r="B71" s="302"/>
      <c r="D71" s="44"/>
      <c r="E71" s="44"/>
      <c r="F71" s="389"/>
      <c r="G71" s="425"/>
      <c r="H71" s="423"/>
      <c r="I71" s="423"/>
      <c r="J71" s="424"/>
      <c r="K71" s="425"/>
      <c r="L71" s="423"/>
      <c r="M71" s="423" t="s">
        <v>17</v>
      </c>
      <c r="N71" s="424"/>
      <c r="O71" s="426">
        <f>ROUND(IF(O59=0,0,0.75*('berekeningen bij fusie'!G51+'berekeningen bij fusie'!K51-'berekeningen bij fusie'!O51)),2)</f>
        <v>0</v>
      </c>
      <c r="Q71" s="33"/>
      <c r="U71" s="25"/>
      <c r="X71" s="25"/>
    </row>
    <row r="72" spans="1:25" ht="12.6" customHeight="1" x14ac:dyDescent="0.2">
      <c r="A72" s="25"/>
      <c r="B72" s="32"/>
      <c r="C72" s="25"/>
      <c r="D72" s="413"/>
      <c r="E72" s="319"/>
      <c r="G72" s="319"/>
      <c r="H72" s="319"/>
      <c r="I72" s="319"/>
      <c r="K72" s="319"/>
      <c r="L72" s="354"/>
      <c r="Q72" s="33"/>
      <c r="R72" s="25"/>
      <c r="S72" s="25"/>
      <c r="T72" s="25"/>
      <c r="U72" s="25"/>
      <c r="X72" s="25"/>
    </row>
    <row r="73" spans="1:25" ht="12.6" customHeight="1" x14ac:dyDescent="0.2">
      <c r="A73" s="25"/>
      <c r="B73" s="32"/>
      <c r="C73" s="31"/>
      <c r="D73" s="303"/>
      <c r="E73" s="303"/>
      <c r="F73" s="408"/>
      <c r="G73" s="303"/>
      <c r="H73" s="303"/>
      <c r="I73" s="303"/>
      <c r="J73" s="408"/>
      <c r="K73" s="303"/>
      <c r="L73" s="303"/>
      <c r="M73" s="303"/>
      <c r="N73" s="408"/>
      <c r="O73" s="346"/>
      <c r="P73" s="303"/>
      <c r="Q73" s="33"/>
      <c r="R73" s="25"/>
      <c r="S73" s="25"/>
      <c r="T73" s="25"/>
      <c r="U73" s="25"/>
      <c r="X73" s="25"/>
    </row>
    <row r="74" spans="1:25" ht="12.6" customHeight="1" x14ac:dyDescent="0.2">
      <c r="A74" s="25"/>
      <c r="B74" s="360"/>
      <c r="C74" s="130"/>
      <c r="D74" s="336"/>
      <c r="E74" s="336"/>
      <c r="F74" s="411"/>
      <c r="G74" s="336"/>
      <c r="H74" s="336"/>
      <c r="I74" s="336"/>
      <c r="J74" s="411"/>
      <c r="K74" s="336"/>
      <c r="L74" s="336"/>
      <c r="M74" s="336"/>
      <c r="N74" s="411"/>
      <c r="O74" s="352"/>
      <c r="P74" s="336"/>
      <c r="Q74" s="437"/>
      <c r="R74" s="25"/>
      <c r="S74" s="25"/>
      <c r="T74" s="25"/>
      <c r="U74" s="25"/>
      <c r="X74" s="25"/>
    </row>
    <row r="75" spans="1:25" ht="12.6" customHeight="1" x14ac:dyDescent="0.2">
      <c r="A75" s="25"/>
      <c r="B75" s="438"/>
      <c r="C75" s="281"/>
      <c r="D75" s="300"/>
      <c r="E75" s="300"/>
      <c r="F75" s="407"/>
      <c r="G75" s="300"/>
      <c r="H75" s="300"/>
      <c r="I75" s="300"/>
      <c r="J75" s="407"/>
      <c r="K75" s="300"/>
      <c r="L75" s="300"/>
      <c r="M75" s="300"/>
      <c r="N75" s="407"/>
      <c r="O75" s="348"/>
      <c r="P75" s="300"/>
      <c r="Q75" s="439"/>
      <c r="R75" s="25"/>
      <c r="S75" s="25"/>
      <c r="T75" s="25"/>
      <c r="U75" s="25"/>
      <c r="X75" s="25"/>
    </row>
    <row r="76" spans="1:25" ht="12.6" customHeight="1" x14ac:dyDescent="0.2">
      <c r="A76" s="25"/>
      <c r="B76" s="32"/>
      <c r="C76" s="31"/>
      <c r="D76" s="303"/>
      <c r="E76" s="303"/>
      <c r="F76" s="408"/>
      <c r="G76" s="303"/>
      <c r="H76" s="303"/>
      <c r="I76" s="303"/>
      <c r="J76" s="408"/>
      <c r="K76" s="303"/>
      <c r="L76" s="303"/>
      <c r="M76" s="303"/>
      <c r="N76" s="408"/>
      <c r="O76" s="346"/>
      <c r="P76" s="303"/>
      <c r="Q76" s="33"/>
      <c r="R76" s="25"/>
      <c r="S76" s="25"/>
      <c r="T76" s="25"/>
      <c r="U76" s="25"/>
      <c r="X76" s="25"/>
    </row>
    <row r="77" spans="1:25" ht="12.6" customHeight="1" x14ac:dyDescent="0.2">
      <c r="B77" s="302"/>
      <c r="C77" s="90"/>
      <c r="D77" s="90"/>
      <c r="E77" s="90"/>
      <c r="F77" s="388"/>
      <c r="G77" s="90"/>
      <c r="H77" s="90"/>
      <c r="I77" s="90"/>
      <c r="J77" s="388"/>
      <c r="K77" s="90"/>
      <c r="L77" s="90"/>
      <c r="M77" s="90"/>
      <c r="N77" s="388"/>
      <c r="O77" s="289"/>
      <c r="P77" s="90"/>
      <c r="Q77" s="33"/>
      <c r="U77" s="25"/>
      <c r="X77" s="25"/>
    </row>
    <row r="78" spans="1:25" s="25" customFormat="1" ht="12.6" customHeight="1" x14ac:dyDescent="0.2">
      <c r="A78" s="120"/>
      <c r="B78" s="302"/>
      <c r="C78" s="90"/>
      <c r="D78" s="92" t="s">
        <v>267</v>
      </c>
      <c r="E78" s="44"/>
      <c r="F78" s="388"/>
      <c r="G78" s="90"/>
      <c r="H78" s="90"/>
      <c r="I78" s="90"/>
      <c r="J78" s="388"/>
      <c r="K78" s="90"/>
      <c r="L78" s="90"/>
      <c r="M78" s="90"/>
      <c r="N78" s="388"/>
      <c r="O78" s="289"/>
      <c r="P78" s="90"/>
      <c r="Q78" s="33"/>
      <c r="R78" s="120"/>
      <c r="S78" s="120"/>
      <c r="T78" s="120"/>
      <c r="V78" s="120"/>
      <c r="W78" s="120"/>
      <c r="Y78" s="120"/>
    </row>
    <row r="79" spans="1:25" s="25" customFormat="1" ht="12.6" customHeight="1" x14ac:dyDescent="0.2">
      <c r="A79" s="120"/>
      <c r="B79" s="302"/>
      <c r="C79" s="90"/>
      <c r="D79" s="90"/>
      <c r="E79" s="90"/>
      <c r="F79" s="388"/>
      <c r="G79" s="90"/>
      <c r="H79" s="90"/>
      <c r="I79" s="90"/>
      <c r="J79" s="388"/>
      <c r="K79" s="90"/>
      <c r="L79" s="90"/>
      <c r="M79" s="90"/>
      <c r="N79" s="388"/>
      <c r="O79" s="289"/>
      <c r="P79" s="90"/>
      <c r="Q79" s="280"/>
    </row>
    <row r="80" spans="1:25" ht="12.6" customHeight="1" x14ac:dyDescent="0.2">
      <c r="B80" s="302"/>
      <c r="C80" s="90"/>
      <c r="D80" s="90"/>
      <c r="E80" s="248" t="s">
        <v>282</v>
      </c>
      <c r="F80" s="388"/>
      <c r="G80" s="90"/>
      <c r="H80" s="90"/>
      <c r="I80" s="44" t="s">
        <v>19</v>
      </c>
      <c r="J80" s="388"/>
      <c r="K80" s="86" t="s">
        <v>187</v>
      </c>
      <c r="L80" s="90"/>
      <c r="M80" s="44" t="s">
        <v>271</v>
      </c>
      <c r="N80" s="388"/>
      <c r="O80" s="289"/>
      <c r="P80" s="90"/>
      <c r="Q80" s="280"/>
    </row>
    <row r="81" spans="1:27" ht="12.6" customHeight="1" x14ac:dyDescent="0.2">
      <c r="B81" s="302"/>
      <c r="C81" s="90"/>
      <c r="D81" s="90"/>
      <c r="E81" s="90" t="s">
        <v>60</v>
      </c>
      <c r="F81" s="389"/>
      <c r="G81" s="320">
        <f>IF((G13+G36+G56)=0,0,ROUND(+(G12*G13+G35*G36+G55*G56)/(G13+G36+G56),2))</f>
        <v>40.53</v>
      </c>
      <c r="H81" s="90"/>
      <c r="I81" s="44"/>
      <c r="J81" s="388"/>
      <c r="K81" s="90"/>
      <c r="L81" s="90"/>
      <c r="M81" s="44"/>
      <c r="N81" s="389"/>
      <c r="O81" s="288"/>
      <c r="P81" s="90"/>
      <c r="Q81" s="280"/>
    </row>
    <row r="82" spans="1:27" ht="12.6" customHeight="1" x14ac:dyDescent="0.2">
      <c r="B82" s="302"/>
      <c r="C82" s="90"/>
      <c r="D82" s="90"/>
      <c r="E82" s="90" t="s">
        <v>61</v>
      </c>
      <c r="F82" s="389"/>
      <c r="G82" s="321">
        <f>G13+G36+G56</f>
        <v>9.6432000000000002</v>
      </c>
      <c r="H82" s="90"/>
      <c r="I82" s="90"/>
      <c r="J82" s="388"/>
      <c r="K82" s="288"/>
      <c r="L82" s="90"/>
      <c r="M82" s="44"/>
      <c r="N82" s="389"/>
      <c r="O82" s="288"/>
      <c r="P82" s="90"/>
      <c r="Q82" s="280"/>
    </row>
    <row r="83" spans="1:27" ht="12.6" customHeight="1" x14ac:dyDescent="0.2">
      <c r="A83" s="27"/>
      <c r="B83" s="302"/>
      <c r="C83" s="90"/>
      <c r="D83" s="90"/>
      <c r="E83" s="90" t="str">
        <f>"Aantal leerlingen 4 t/m 7 jaar per 1 oktober "&amp;tab!$D$4</f>
        <v>Aantal leerlingen 4 t/m 7 jaar per 1 oktober 2018</v>
      </c>
      <c r="F83" s="388"/>
      <c r="G83" s="322">
        <f>O14+O37+O57-K83</f>
        <v>33</v>
      </c>
      <c r="H83" s="90"/>
      <c r="I83" s="90" t="str">
        <f>"Aantal leerlingen 4 t/m 7 jaar per 1 oktober "&amp;tab!$D$4</f>
        <v>Aantal leerlingen 4 t/m 7 jaar per 1 oktober 2018</v>
      </c>
      <c r="J83" s="388"/>
      <c r="K83" s="361">
        <v>22</v>
      </c>
      <c r="L83" s="90"/>
      <c r="M83" s="90" t="str">
        <f>"Aantal leerlingen 4 t/m 7 jaar per 1 oktober "&amp;tab!$D$4</f>
        <v>Aantal leerlingen 4 t/m 7 jaar per 1 oktober 2018</v>
      </c>
      <c r="N83" s="388"/>
      <c r="O83" s="322">
        <f>G83+K83</f>
        <v>55</v>
      </c>
      <c r="P83" s="90"/>
      <c r="Q83" s="280"/>
    </row>
    <row r="84" spans="1:27" ht="12.6" customHeight="1" x14ac:dyDescent="0.2">
      <c r="A84" s="27"/>
      <c r="B84" s="302"/>
      <c r="C84" s="90"/>
      <c r="D84" s="90"/>
      <c r="E84" s="90" t="str">
        <f>"Aantal leerlingen 8 jaar e.o. per 1 oktober "&amp;tab!$D$4</f>
        <v>Aantal leerlingen 8 jaar e.o. per 1 oktober 2018</v>
      </c>
      <c r="F84" s="388"/>
      <c r="G84" s="322">
        <f>O15+O38+O58-K84</f>
        <v>31</v>
      </c>
      <c r="H84" s="44"/>
      <c r="I84" s="90" t="str">
        <f>"Aantal leerlingen 8 jaar e.o. per 1 oktober "&amp;tab!$D$4</f>
        <v>Aantal leerlingen 8 jaar e.o. per 1 oktober 2018</v>
      </c>
      <c r="J84" s="388"/>
      <c r="K84" s="361">
        <v>28</v>
      </c>
      <c r="L84" s="90"/>
      <c r="M84" s="90" t="str">
        <f>"Aantal leerlingen 8 jaar e.o. per 1 oktober "&amp;tab!$D$4</f>
        <v>Aantal leerlingen 8 jaar e.o. per 1 oktober 2018</v>
      </c>
      <c r="N84" s="388"/>
      <c r="O84" s="322">
        <f>G84+K84</f>
        <v>59</v>
      </c>
      <c r="P84" s="90"/>
      <c r="Q84" s="280"/>
    </row>
    <row r="85" spans="1:27" ht="12.6" customHeight="1" x14ac:dyDescent="0.2">
      <c r="A85" s="27"/>
      <c r="B85" s="302"/>
      <c r="C85" s="90"/>
      <c r="D85" s="90"/>
      <c r="E85" s="44" t="s">
        <v>5</v>
      </c>
      <c r="F85" s="389"/>
      <c r="G85" s="101">
        <f>SUM(G83:G84)</f>
        <v>64</v>
      </c>
      <c r="H85" s="90"/>
      <c r="I85" s="44" t="s">
        <v>5</v>
      </c>
      <c r="J85" s="389"/>
      <c r="K85" s="101">
        <f>SUM(K83:K84)</f>
        <v>50</v>
      </c>
      <c r="L85" s="90"/>
      <c r="M85" s="44" t="s">
        <v>5</v>
      </c>
      <c r="N85" s="389"/>
      <c r="O85" s="101">
        <f>SUM(O83:O84)</f>
        <v>114</v>
      </c>
      <c r="P85" s="90"/>
      <c r="Q85" s="280"/>
    </row>
    <row r="86" spans="1:27" ht="12.6" customHeight="1" x14ac:dyDescent="0.2">
      <c r="A86" s="27"/>
      <c r="B86" s="302"/>
      <c r="C86" s="90"/>
      <c r="D86" s="90"/>
      <c r="E86" s="90" t="s">
        <v>206</v>
      </c>
      <c r="F86" s="390">
        <v>0.3</v>
      </c>
      <c r="G86" s="322">
        <f>O17+O40+O60-K86</f>
        <v>13</v>
      </c>
      <c r="H86" s="90"/>
      <c r="I86" s="90" t="s">
        <v>206</v>
      </c>
      <c r="J86" s="390">
        <v>0.3</v>
      </c>
      <c r="K86" s="361">
        <v>9</v>
      </c>
      <c r="L86" s="90"/>
      <c r="M86" s="90" t="s">
        <v>206</v>
      </c>
      <c r="N86" s="412">
        <v>0.3</v>
      </c>
      <c r="O86" s="322">
        <f>G86+K86</f>
        <v>22</v>
      </c>
      <c r="P86" s="90"/>
      <c r="Q86" s="280"/>
    </row>
    <row r="87" spans="1:27" ht="12.6" customHeight="1" x14ac:dyDescent="0.2">
      <c r="A87" s="27"/>
      <c r="B87" s="302"/>
      <c r="C87" s="90"/>
      <c r="D87" s="90"/>
      <c r="E87" s="90" t="s">
        <v>207</v>
      </c>
      <c r="F87" s="390">
        <v>1.2</v>
      </c>
      <c r="G87" s="322">
        <f>O18+O41+O61-K87</f>
        <v>1</v>
      </c>
      <c r="H87" s="44"/>
      <c r="I87" s="90" t="s">
        <v>207</v>
      </c>
      <c r="J87" s="390">
        <v>1.2</v>
      </c>
      <c r="K87" s="361">
        <v>8</v>
      </c>
      <c r="L87" s="90"/>
      <c r="M87" s="90" t="s">
        <v>207</v>
      </c>
      <c r="N87" s="412">
        <v>1.2</v>
      </c>
      <c r="O87" s="322">
        <f>G87+K87</f>
        <v>9</v>
      </c>
      <c r="P87" s="90"/>
      <c r="Q87" s="280"/>
    </row>
    <row r="88" spans="1:27" ht="12.6" customHeight="1" x14ac:dyDescent="0.2">
      <c r="A88" s="27"/>
      <c r="B88" s="302"/>
      <c r="C88" s="90"/>
      <c r="D88" s="90"/>
      <c r="E88" s="44" t="s">
        <v>70</v>
      </c>
      <c r="F88" s="391">
        <f>SUM(G86:G87)</f>
        <v>14</v>
      </c>
      <c r="G88" s="101">
        <f>ROUND(IF(G90&gt;G85*0.8,G85*0.8,G90),0)</f>
        <v>1</v>
      </c>
      <c r="H88" s="90"/>
      <c r="I88" s="44" t="s">
        <v>208</v>
      </c>
      <c r="J88" s="391">
        <f>SUM(K86:K87)</f>
        <v>17</v>
      </c>
      <c r="K88" s="101">
        <f>ROUND(IF(K90&gt;K85*0.8,K85*0.8,K90),0)</f>
        <v>9</v>
      </c>
      <c r="L88" s="90"/>
      <c r="M88" s="44" t="s">
        <v>208</v>
      </c>
      <c r="N88" s="388">
        <f>SUM(O86:O87)</f>
        <v>31</v>
      </c>
      <c r="O88" s="101">
        <f>ROUND(IF(O90&gt;O85*0.8,O85*0.8,O90),0)</f>
        <v>11</v>
      </c>
      <c r="P88" s="90"/>
      <c r="Q88" s="280"/>
    </row>
    <row r="89" spans="1:27" ht="12.6" customHeight="1" x14ac:dyDescent="0.2">
      <c r="A89" s="27"/>
      <c r="B89" s="302"/>
      <c r="C89" s="90"/>
      <c r="D89" s="90"/>
      <c r="E89" s="90" t="s">
        <v>85</v>
      </c>
      <c r="F89" s="388"/>
      <c r="G89" s="86" t="s">
        <v>187</v>
      </c>
      <c r="H89" s="90"/>
      <c r="I89" s="90" t="s">
        <v>85</v>
      </c>
      <c r="J89" s="388"/>
      <c r="K89" s="86" t="s">
        <v>79</v>
      </c>
      <c r="L89" s="90"/>
      <c r="M89" s="90" t="s">
        <v>85</v>
      </c>
      <c r="N89" s="388"/>
      <c r="O89" s="322" t="str">
        <f>G89</f>
        <v>ja</v>
      </c>
      <c r="P89" s="90"/>
      <c r="Q89" s="280"/>
      <c r="S89" s="447"/>
    </row>
    <row r="90" spans="1:27" ht="12.6" customHeight="1" x14ac:dyDescent="0.2">
      <c r="A90" s="27"/>
      <c r="B90" s="302"/>
      <c r="C90" s="90"/>
      <c r="D90" s="90"/>
      <c r="E90" s="90"/>
      <c r="F90" s="388"/>
      <c r="G90" s="381">
        <f>ROUND(IF((F86*G86+F87*G87-tab!$D23*G85)&lt;0,0,F86*G86+F87*G87-tab!$D23*G85),0)</f>
        <v>1</v>
      </c>
      <c r="H90" s="90"/>
      <c r="I90" s="90"/>
      <c r="J90" s="388"/>
      <c r="K90" s="381">
        <f>ROUND(IF((J86*K86+J87*K87-tab!$D23*K85)&lt;0,0,J86*K86+J87*K87-tab!$D23*K85),0)</f>
        <v>9</v>
      </c>
      <c r="L90" s="90"/>
      <c r="M90" s="90"/>
      <c r="N90" s="388"/>
      <c r="O90" s="381">
        <f>ROUND(IF((N86*O86+N87*O87-tab!$D$23*O85)&lt;0,0,N86*O86+N87*O87-tab!$D$23*O85),0)</f>
        <v>11</v>
      </c>
      <c r="P90" s="90"/>
      <c r="Q90" s="280"/>
    </row>
    <row r="91" spans="1:27" ht="12.6" customHeight="1" x14ac:dyDescent="0.2">
      <c r="A91" s="27"/>
      <c r="B91" s="32"/>
      <c r="C91" s="44"/>
      <c r="D91" s="90"/>
      <c r="E91" s="90" t="s">
        <v>15</v>
      </c>
      <c r="F91" s="388"/>
      <c r="G91" s="419">
        <f>ROUND(+'berekeningen bij fusie'!G70,2)</f>
        <v>81885.62</v>
      </c>
      <c r="H91" s="420"/>
      <c r="I91" s="90" t="s">
        <v>15</v>
      </c>
      <c r="J91" s="421"/>
      <c r="K91" s="419">
        <f>ROUND(IF(K80="nee",0,'berekeningen bij fusie'!K70),2)</f>
        <v>96149.64</v>
      </c>
      <c r="L91" s="420"/>
      <c r="M91" s="420" t="s">
        <v>15</v>
      </c>
      <c r="N91" s="421"/>
      <c r="O91" s="419">
        <f>'berekeningen bij fusie'!O70</f>
        <v>30942.670000000013</v>
      </c>
      <c r="P91" s="90"/>
      <c r="Q91" s="280"/>
    </row>
    <row r="92" spans="1:27" s="25" customFormat="1" ht="12.6" customHeight="1" x14ac:dyDescent="0.2">
      <c r="A92" s="27"/>
      <c r="B92" s="302"/>
      <c r="C92" s="90"/>
      <c r="D92" s="90"/>
      <c r="E92" s="90" t="s">
        <v>16</v>
      </c>
      <c r="F92" s="388"/>
      <c r="G92" s="419">
        <f>'berekeningen bij fusie'!G73</f>
        <v>3440.1302000000001</v>
      </c>
      <c r="H92" s="420"/>
      <c r="I92" s="90" t="s">
        <v>16</v>
      </c>
      <c r="J92" s="421"/>
      <c r="K92" s="419">
        <f>ROUND(IF(K80="nee",0,'berekeningen bij fusie'!K73),2)</f>
        <v>30961.17</v>
      </c>
      <c r="L92" s="420"/>
      <c r="M92" s="420" t="s">
        <v>16</v>
      </c>
      <c r="N92" s="421"/>
      <c r="O92" s="419">
        <f>'berekeningen bij fusie'!O73</f>
        <v>34401.302000000003</v>
      </c>
      <c r="P92" s="90"/>
      <c r="Q92" s="280"/>
    </row>
    <row r="93" spans="1:27" ht="12.6" customHeight="1" x14ac:dyDescent="0.2">
      <c r="A93" s="27"/>
      <c r="B93" s="302"/>
      <c r="C93" s="90"/>
      <c r="D93" s="90"/>
      <c r="E93" s="90" t="s">
        <v>76</v>
      </c>
      <c r="F93" s="388"/>
      <c r="G93" s="419">
        <f>'berekeningen bij fusie'!G74</f>
        <v>27734</v>
      </c>
      <c r="H93" s="420"/>
      <c r="I93" s="90" t="s">
        <v>76</v>
      </c>
      <c r="J93" s="421"/>
      <c r="K93" s="419">
        <f>ROUND(IF(K80="nee",0,'berekeningen bij fusie'!K74),2)</f>
        <v>0</v>
      </c>
      <c r="L93" s="420"/>
      <c r="M93" s="420" t="s">
        <v>76</v>
      </c>
      <c r="N93" s="421"/>
      <c r="O93" s="419">
        <f>'berekeningen bij fusie'!O74</f>
        <v>61411</v>
      </c>
      <c r="P93" s="90"/>
      <c r="Q93" s="280"/>
    </row>
    <row r="94" spans="1:27" ht="12.6" customHeight="1" x14ac:dyDescent="0.2">
      <c r="A94" s="27"/>
      <c r="B94" s="302"/>
      <c r="C94" s="90"/>
      <c r="D94" s="44"/>
      <c r="E94" s="90" t="s">
        <v>18</v>
      </c>
      <c r="F94" s="388"/>
      <c r="G94" s="419">
        <f>'berekeningen bij fusie'!G77</f>
        <v>0</v>
      </c>
      <c r="H94" s="420"/>
      <c r="I94" s="90" t="s">
        <v>18</v>
      </c>
      <c r="J94" s="421"/>
      <c r="K94" s="419">
        <f>ROUND(IF(K80="nee",0,'berekeningen bij fusie'!K77),2)</f>
        <v>0</v>
      </c>
      <c r="L94" s="420"/>
      <c r="M94" s="420" t="s">
        <v>18</v>
      </c>
      <c r="N94" s="421"/>
      <c r="O94" s="419">
        <f>'berekeningen bij fusie'!O77</f>
        <v>0</v>
      </c>
      <c r="P94" s="90"/>
      <c r="Q94" s="280"/>
    </row>
    <row r="95" spans="1:27" ht="12.6" customHeight="1" x14ac:dyDescent="0.2">
      <c r="A95" s="27"/>
      <c r="B95" s="302"/>
      <c r="C95" s="90"/>
      <c r="D95" s="90"/>
      <c r="E95" s="44" t="s">
        <v>213</v>
      </c>
      <c r="F95" s="388"/>
      <c r="G95" s="422">
        <f>SUM(G91:G94)</f>
        <v>113059.75019999999</v>
      </c>
      <c r="H95" s="420"/>
      <c r="I95" s="44" t="s">
        <v>213</v>
      </c>
      <c r="J95" s="421"/>
      <c r="K95" s="422">
        <f>SUM(K91:K94)</f>
        <v>127110.81</v>
      </c>
      <c r="L95" s="420"/>
      <c r="M95" s="423" t="s">
        <v>132</v>
      </c>
      <c r="N95" s="421"/>
      <c r="O95" s="422">
        <f>SUM(O91:O94)</f>
        <v>126754.97200000001</v>
      </c>
      <c r="P95" s="90"/>
      <c r="Q95" s="33"/>
    </row>
    <row r="96" spans="1:27" s="25" customFormat="1" ht="12.6" customHeight="1" x14ac:dyDescent="0.2">
      <c r="A96" s="27"/>
      <c r="B96" s="32"/>
      <c r="C96" s="44"/>
      <c r="D96" s="90"/>
      <c r="E96" s="44" t="s">
        <v>81</v>
      </c>
      <c r="F96" s="389"/>
      <c r="G96" s="422">
        <f>+'berekeningen bij fusie'!O71</f>
        <v>32785.9</v>
      </c>
      <c r="H96" s="420"/>
      <c r="I96" s="44" t="s">
        <v>81</v>
      </c>
      <c r="J96" s="424"/>
      <c r="K96" s="422">
        <f>'berekeningen bij fusie'!K71</f>
        <v>17809.95</v>
      </c>
      <c r="L96" s="420"/>
      <c r="M96" s="423" t="s">
        <v>81</v>
      </c>
      <c r="N96" s="424"/>
      <c r="O96" s="422">
        <f>'berekeningen bij fusie'!O71</f>
        <v>32785.9</v>
      </c>
      <c r="P96" s="90"/>
      <c r="Q96" s="280"/>
      <c r="U96" s="120"/>
      <c r="V96" s="120"/>
      <c r="W96" s="120"/>
      <c r="X96" s="120"/>
      <c r="Y96" s="120"/>
      <c r="Z96" s="120"/>
      <c r="AA96" s="120"/>
    </row>
    <row r="97" spans="1:34" ht="12.6" customHeight="1" x14ac:dyDescent="0.2">
      <c r="A97" s="27"/>
      <c r="B97" s="302"/>
      <c r="C97" s="90"/>
      <c r="D97" s="44"/>
      <c r="E97" s="44"/>
      <c r="F97" s="389"/>
      <c r="G97" s="425"/>
      <c r="H97" s="420"/>
      <c r="I97" s="420"/>
      <c r="J97" s="421"/>
      <c r="K97" s="420"/>
      <c r="L97" s="420"/>
      <c r="M97" s="423" t="s">
        <v>17</v>
      </c>
      <c r="N97" s="424"/>
      <c r="O97" s="426">
        <f>ROUND(IF(O85=0,0,0.75*('berekeningen bij fusie'!G70+'berekeningen bij fusie'!K70-'berekeningen bij fusie'!O70)),2)</f>
        <v>110319.44</v>
      </c>
      <c r="P97" s="90"/>
      <c r="Q97" s="33"/>
    </row>
    <row r="98" spans="1:34" ht="12.6" customHeight="1" x14ac:dyDescent="0.2">
      <c r="A98" s="27"/>
      <c r="B98" s="302"/>
      <c r="C98" s="90"/>
      <c r="D98" s="90"/>
      <c r="E98" s="90"/>
      <c r="F98" s="388"/>
      <c r="G98" s="90"/>
      <c r="H98" s="90"/>
      <c r="I98" s="90"/>
      <c r="J98" s="388"/>
      <c r="K98" s="90"/>
      <c r="L98" s="90"/>
      <c r="M98" s="90"/>
      <c r="N98" s="388"/>
      <c r="O98" s="289"/>
      <c r="P98" s="90"/>
      <c r="Q98" s="280"/>
    </row>
    <row r="99" spans="1:34" ht="12.6" customHeight="1" x14ac:dyDescent="0.2">
      <c r="A99" s="25"/>
      <c r="B99" s="32"/>
      <c r="C99" s="31"/>
      <c r="D99" s="303"/>
      <c r="E99" s="303"/>
      <c r="F99" s="408"/>
      <c r="G99" s="303"/>
      <c r="H99" s="303"/>
      <c r="I99" s="303"/>
      <c r="J99" s="408"/>
      <c r="K99" s="303"/>
      <c r="L99" s="303"/>
      <c r="M99" s="303"/>
      <c r="N99" s="408"/>
      <c r="O99" s="346"/>
      <c r="P99" s="303"/>
      <c r="Q99" s="33"/>
      <c r="R99" s="25"/>
      <c r="S99" s="25"/>
      <c r="T99" s="25"/>
      <c r="U99" s="25"/>
      <c r="X99" s="25"/>
    </row>
    <row r="100" spans="1:34" ht="12.6" customHeight="1" x14ac:dyDescent="0.2">
      <c r="A100" s="27"/>
      <c r="B100" s="302"/>
      <c r="D100" s="312"/>
      <c r="E100" s="161"/>
      <c r="F100" s="387"/>
      <c r="G100" s="161"/>
      <c r="H100" s="90"/>
      <c r="L100" s="314"/>
      <c r="Q100" s="280"/>
    </row>
    <row r="101" spans="1:34" ht="12.6" customHeight="1" x14ac:dyDescent="0.2">
      <c r="A101" s="27"/>
      <c r="B101" s="302"/>
      <c r="D101" s="313"/>
      <c r="E101" s="325" t="s">
        <v>87</v>
      </c>
      <c r="F101" s="388"/>
      <c r="G101" s="90"/>
      <c r="H101" s="90"/>
      <c r="L101" s="314"/>
      <c r="Q101" s="274"/>
      <c r="Y101" s="25"/>
      <c r="Z101" s="25"/>
      <c r="AA101" s="25"/>
    </row>
    <row r="102" spans="1:34" ht="12.6" customHeight="1" x14ac:dyDescent="0.2">
      <c r="A102" s="27"/>
      <c r="B102" s="302"/>
      <c r="D102" s="313"/>
      <c r="E102" s="325"/>
      <c r="F102" s="388"/>
      <c r="H102" s="90"/>
      <c r="L102" s="314"/>
      <c r="Q102" s="274"/>
    </row>
    <row r="103" spans="1:34" s="275" customFormat="1" ht="12.6" customHeight="1" x14ac:dyDescent="0.2">
      <c r="A103" s="270"/>
      <c r="B103" s="302"/>
      <c r="C103" s="120"/>
      <c r="D103" s="313"/>
      <c r="E103" s="325" t="s">
        <v>274</v>
      </c>
      <c r="F103" s="388"/>
      <c r="G103" s="120"/>
      <c r="H103" s="90"/>
      <c r="I103" s="325" t="s">
        <v>275</v>
      </c>
      <c r="J103" s="386"/>
      <c r="K103" s="120"/>
      <c r="L103" s="314"/>
      <c r="M103" s="120"/>
      <c r="N103" s="386"/>
      <c r="O103" s="298"/>
      <c r="P103" s="120"/>
      <c r="Q103" s="280"/>
      <c r="U103" s="120"/>
      <c r="V103" s="120"/>
      <c r="W103" s="120"/>
      <c r="X103" s="120"/>
    </row>
    <row r="104" spans="1:34" s="275" customFormat="1" ht="12.6" customHeight="1" x14ac:dyDescent="0.2">
      <c r="A104" s="270"/>
      <c r="B104" s="271"/>
      <c r="D104" s="313"/>
      <c r="E104" s="326" t="s">
        <v>66</v>
      </c>
      <c r="F104" s="394"/>
      <c r="G104" s="120"/>
      <c r="H104" s="90"/>
      <c r="I104" s="326" t="s">
        <v>66</v>
      </c>
      <c r="J104" s="386"/>
      <c r="K104" s="120"/>
      <c r="L104" s="314"/>
      <c r="M104" s="120"/>
      <c r="N104" s="386"/>
      <c r="O104" s="298"/>
      <c r="P104" s="120"/>
      <c r="Q104" s="280"/>
      <c r="U104" s="120"/>
      <c r="V104" s="120"/>
      <c r="W104" s="120"/>
      <c r="X104" s="120"/>
      <c r="Y104" s="324"/>
      <c r="Z104" s="324"/>
      <c r="AA104" s="324"/>
    </row>
    <row r="105" spans="1:34" ht="12.6" customHeight="1" x14ac:dyDescent="0.2">
      <c r="A105" s="27"/>
      <c r="B105" s="271"/>
      <c r="C105" s="275"/>
      <c r="D105" s="313"/>
      <c r="E105" s="162" t="s">
        <v>64</v>
      </c>
      <c r="G105" s="419">
        <f>IF(K11="ja",O26+O28,G26)+IF(K34="ja",O49+O51,G49)+IF(K54="ja",O69+O71,G69)</f>
        <v>283828.83999999997</v>
      </c>
      <c r="H105" s="420"/>
      <c r="I105" s="431" t="s">
        <v>64</v>
      </c>
      <c r="J105" s="428"/>
      <c r="K105" s="419">
        <f>G105-'complete leerlingpopulatie'!F36-'complete leerlingpopulatie'!F57</f>
        <v>280744.69029999996</v>
      </c>
      <c r="Q105" s="280"/>
      <c r="Y105" s="25"/>
      <c r="Z105" s="25"/>
      <c r="AA105" s="25"/>
    </row>
    <row r="106" spans="1:34" s="25" customFormat="1" ht="12.6" customHeight="1" x14ac:dyDescent="0.2">
      <c r="A106" s="27"/>
      <c r="B106" s="302"/>
      <c r="C106" s="120"/>
      <c r="D106" s="313"/>
      <c r="E106" s="162" t="s">
        <v>65</v>
      </c>
      <c r="F106" s="386"/>
      <c r="G106" s="419">
        <f>IF(K80="ja",O95+O97,G95)</f>
        <v>237074.41200000001</v>
      </c>
      <c r="H106" s="420"/>
      <c r="I106" s="431" t="s">
        <v>65</v>
      </c>
      <c r="J106" s="428"/>
      <c r="K106" s="419">
        <f>G106</f>
        <v>237074.41200000001</v>
      </c>
      <c r="L106" s="314"/>
      <c r="M106" s="120"/>
      <c r="N106" s="386"/>
      <c r="O106" s="298"/>
      <c r="P106" s="120"/>
      <c r="Q106" s="280"/>
      <c r="U106" s="120"/>
      <c r="V106" s="120"/>
      <c r="W106" s="120"/>
      <c r="X106" s="120"/>
      <c r="Y106" s="120"/>
      <c r="Z106" s="120"/>
      <c r="AA106" s="120"/>
    </row>
    <row r="107" spans="1:34" s="25" customFormat="1" ht="12.6" customHeight="1" x14ac:dyDescent="0.2">
      <c r="A107" s="27"/>
      <c r="B107" s="302"/>
      <c r="C107" s="120"/>
      <c r="D107" s="313"/>
      <c r="E107" s="162"/>
      <c r="F107" s="395"/>
      <c r="G107" s="430">
        <f>G105-G106</f>
        <v>46754.427999999956</v>
      </c>
      <c r="H107" s="427"/>
      <c r="I107" s="431"/>
      <c r="J107" s="421"/>
      <c r="K107" s="430">
        <f>K105-K106</f>
        <v>43670.278299999947</v>
      </c>
      <c r="L107" s="314"/>
      <c r="M107" s="120"/>
      <c r="N107" s="386"/>
      <c r="O107" s="298"/>
      <c r="P107" s="120"/>
      <c r="Q107" s="33"/>
      <c r="U107" s="120"/>
      <c r="V107" s="120"/>
      <c r="W107" s="120"/>
      <c r="X107" s="120"/>
      <c r="Y107" s="120"/>
      <c r="Z107" s="120"/>
      <c r="AA107" s="120"/>
    </row>
    <row r="108" spans="1:34" s="25" customFormat="1" ht="12.6" customHeight="1" x14ac:dyDescent="0.2">
      <c r="A108" s="27"/>
      <c r="B108" s="302"/>
      <c r="C108" s="120"/>
      <c r="D108" s="312"/>
      <c r="E108" s="326" t="s">
        <v>62</v>
      </c>
      <c r="F108" s="386"/>
      <c r="G108" s="427"/>
      <c r="H108" s="420"/>
      <c r="I108" s="326" t="s">
        <v>62</v>
      </c>
      <c r="J108" s="428"/>
      <c r="K108" s="427"/>
      <c r="L108" s="314"/>
      <c r="M108" s="120"/>
      <c r="N108" s="386"/>
      <c r="O108" s="298"/>
      <c r="P108" s="120"/>
      <c r="Q108" s="280"/>
      <c r="U108" s="120"/>
      <c r="V108" s="120"/>
      <c r="W108" s="120"/>
      <c r="X108" s="120"/>
      <c r="Y108" s="120"/>
      <c r="Z108" s="120"/>
      <c r="AA108" s="120"/>
    </row>
    <row r="109" spans="1:34" s="25" customFormat="1" ht="12.6" customHeight="1" x14ac:dyDescent="0.2">
      <c r="A109" s="27"/>
      <c r="B109" s="302"/>
      <c r="C109" s="120"/>
      <c r="D109" s="313"/>
      <c r="E109" s="162" t="s">
        <v>89</v>
      </c>
      <c r="F109" s="386"/>
      <c r="G109" s="419">
        <f>IF(K11="ja",G27,O27)+IF(K34="ja",G50,O50)+IF(K54="ja",G70,O70)</f>
        <v>50595.850000000006</v>
      </c>
      <c r="H109" s="420"/>
      <c r="I109" s="162" t="s">
        <v>89</v>
      </c>
      <c r="J109" s="428"/>
      <c r="K109" s="419">
        <f>G109</f>
        <v>50595.850000000006</v>
      </c>
      <c r="L109" s="314"/>
      <c r="M109" s="120"/>
      <c r="N109" s="386"/>
      <c r="O109" s="298"/>
      <c r="P109" s="120"/>
      <c r="Q109" s="280"/>
      <c r="U109" s="120"/>
      <c r="V109" s="120"/>
      <c r="W109" s="120"/>
      <c r="X109" s="120"/>
    </row>
    <row r="110" spans="1:34" s="25" customFormat="1" ht="12.6" customHeight="1" x14ac:dyDescent="0.2">
      <c r="A110" s="27"/>
      <c r="B110" s="32"/>
      <c r="D110" s="313"/>
      <c r="E110" s="162" t="s">
        <v>88</v>
      </c>
      <c r="F110" s="386"/>
      <c r="G110" s="419">
        <f>+G96</f>
        <v>32785.9</v>
      </c>
      <c r="H110" s="420"/>
      <c r="I110" s="162" t="s">
        <v>88</v>
      </c>
      <c r="J110" s="429"/>
      <c r="K110" s="419">
        <f>G110</f>
        <v>32785.9</v>
      </c>
      <c r="L110" s="50"/>
      <c r="N110" s="396"/>
      <c r="O110" s="341"/>
      <c r="Q110" s="280"/>
      <c r="U110" s="120"/>
      <c r="V110" s="120"/>
      <c r="W110" s="120"/>
      <c r="X110" s="120"/>
      <c r="AE110" s="120"/>
      <c r="AF110" s="120"/>
      <c r="AG110" s="120"/>
      <c r="AH110" s="120"/>
    </row>
    <row r="111" spans="1:34" s="25" customFormat="1" ht="12.6" customHeight="1" x14ac:dyDescent="0.2">
      <c r="A111" s="27"/>
      <c r="B111" s="302"/>
      <c r="C111" s="120"/>
      <c r="D111" s="313"/>
      <c r="E111" s="249"/>
      <c r="F111" s="396"/>
      <c r="G111" s="430">
        <f>G109-G110</f>
        <v>17809.950000000004</v>
      </c>
      <c r="H111" s="420"/>
      <c r="I111" s="249"/>
      <c r="J111" s="428"/>
      <c r="K111" s="430">
        <f>K109-K110</f>
        <v>17809.950000000004</v>
      </c>
      <c r="L111" s="314"/>
      <c r="M111" s="120"/>
      <c r="N111" s="386"/>
      <c r="O111" s="298"/>
      <c r="P111" s="120"/>
      <c r="Q111" s="280"/>
      <c r="U111" s="120"/>
      <c r="V111" s="120"/>
      <c r="W111" s="120"/>
      <c r="X111" s="120"/>
      <c r="Y111" s="120"/>
      <c r="Z111" s="120"/>
      <c r="AA111" s="120"/>
    </row>
    <row r="112" spans="1:34" s="25" customFormat="1" ht="12.6" customHeight="1" x14ac:dyDescent="0.25">
      <c r="A112" s="27"/>
      <c r="B112" s="302"/>
      <c r="C112" s="120"/>
      <c r="D112" s="313"/>
      <c r="E112" s="326" t="s">
        <v>67</v>
      </c>
      <c r="F112" s="386"/>
      <c r="G112" s="427"/>
      <c r="H112" s="423"/>
      <c r="I112" s="326" t="s">
        <v>67</v>
      </c>
      <c r="J112" s="428"/>
      <c r="K112" s="427"/>
      <c r="L112" s="314"/>
      <c r="M112" s="120"/>
      <c r="N112" s="386"/>
      <c r="O112" s="298"/>
      <c r="P112" s="120"/>
      <c r="Q112" s="280"/>
      <c r="U112" s="120"/>
      <c r="V112" s="327"/>
      <c r="W112" s="327"/>
      <c r="X112" s="120"/>
      <c r="Y112" s="120"/>
      <c r="Z112" s="120"/>
      <c r="AA112" s="120"/>
    </row>
    <row r="113" spans="1:27" s="25" customFormat="1" ht="12.6" customHeight="1" x14ac:dyDescent="0.2">
      <c r="A113" s="27"/>
      <c r="B113" s="302"/>
      <c r="C113" s="120"/>
      <c r="D113" s="47"/>
      <c r="E113" s="162" t="s">
        <v>210</v>
      </c>
      <c r="F113" s="386"/>
      <c r="G113" s="430">
        <f>G105+G109</f>
        <v>334424.68999999994</v>
      </c>
      <c r="H113" s="420"/>
      <c r="I113" s="162" t="s">
        <v>210</v>
      </c>
      <c r="J113" s="428"/>
      <c r="K113" s="430">
        <f>K105+K109</f>
        <v>331340.54029999999</v>
      </c>
      <c r="L113" s="50"/>
      <c r="N113" s="396"/>
      <c r="O113" s="341"/>
      <c r="Q113" s="280"/>
      <c r="U113" s="120"/>
      <c r="V113" s="120"/>
      <c r="W113" s="120"/>
      <c r="X113" s="120"/>
      <c r="Y113" s="120"/>
      <c r="Z113" s="120"/>
      <c r="AA113" s="120"/>
    </row>
    <row r="114" spans="1:27" s="25" customFormat="1" ht="12.6" customHeight="1" x14ac:dyDescent="0.2">
      <c r="A114" s="27"/>
      <c r="B114" s="302"/>
      <c r="C114" s="120"/>
      <c r="D114" s="313"/>
      <c r="E114" s="162" t="s">
        <v>211</v>
      </c>
      <c r="F114" s="396"/>
      <c r="G114" s="430">
        <f>G106+G110</f>
        <v>269860.31200000003</v>
      </c>
      <c r="H114" s="420"/>
      <c r="I114" s="162" t="s">
        <v>211</v>
      </c>
      <c r="J114" s="429"/>
      <c r="K114" s="430">
        <f>K106+K110</f>
        <v>269860.31200000003</v>
      </c>
      <c r="L114" s="120"/>
      <c r="M114" s="120"/>
      <c r="N114" s="386"/>
      <c r="O114" s="298"/>
      <c r="P114" s="120"/>
      <c r="Q114" s="280"/>
      <c r="V114" s="120"/>
      <c r="W114" s="120"/>
      <c r="X114" s="120"/>
      <c r="Y114" s="120"/>
      <c r="Z114" s="120"/>
      <c r="AA114" s="120"/>
    </row>
    <row r="115" spans="1:27" s="25" customFormat="1" ht="12.6" customHeight="1" x14ac:dyDescent="0.2">
      <c r="A115" s="27"/>
      <c r="B115" s="302"/>
      <c r="C115" s="120"/>
      <c r="D115" s="313"/>
      <c r="E115" s="328"/>
      <c r="F115" s="386"/>
      <c r="G115" s="422">
        <f>ROUND(G113-G114,2)</f>
        <v>64564.38</v>
      </c>
      <c r="H115" s="423"/>
      <c r="I115" s="432"/>
      <c r="J115" s="428"/>
      <c r="K115" s="422">
        <f>ROUND(K113-K114,2)</f>
        <v>61480.23</v>
      </c>
      <c r="L115" s="314"/>
      <c r="M115" s="120"/>
      <c r="N115" s="386"/>
      <c r="O115" s="298"/>
      <c r="P115" s="120"/>
      <c r="Q115" s="280"/>
      <c r="V115" s="120"/>
      <c r="W115" s="120"/>
      <c r="X115" s="120"/>
      <c r="Y115" s="120"/>
      <c r="Z115" s="120"/>
      <c r="AA115" s="120"/>
    </row>
    <row r="116" spans="1:27" s="25" customFormat="1" ht="12.6" customHeight="1" x14ac:dyDescent="0.2">
      <c r="A116" s="27"/>
      <c r="B116" s="302"/>
      <c r="C116" s="120"/>
      <c r="D116" s="47"/>
      <c r="E116" s="120"/>
      <c r="F116" s="386"/>
      <c r="G116" s="120"/>
      <c r="I116" s="432"/>
      <c r="J116" s="386"/>
      <c r="K116" s="120"/>
      <c r="L116" s="323"/>
      <c r="M116" s="120"/>
      <c r="N116" s="386"/>
      <c r="O116" s="298"/>
      <c r="P116" s="120"/>
      <c r="Q116" s="280"/>
      <c r="V116" s="120"/>
      <c r="W116" s="120"/>
      <c r="X116" s="120"/>
      <c r="Y116" s="120"/>
      <c r="Z116" s="120"/>
      <c r="AA116" s="120"/>
    </row>
    <row r="117" spans="1:27" s="25" customFormat="1" ht="12.6" customHeight="1" x14ac:dyDescent="0.2">
      <c r="A117" s="27"/>
      <c r="B117" s="302"/>
      <c r="C117" s="303"/>
      <c r="D117" s="303"/>
      <c r="E117" s="31"/>
      <c r="F117" s="408"/>
      <c r="G117" s="303"/>
      <c r="H117" s="303"/>
      <c r="I117" s="31"/>
      <c r="J117" s="408"/>
      <c r="K117" s="88"/>
      <c r="L117" s="329"/>
      <c r="M117" s="303"/>
      <c r="N117" s="408"/>
      <c r="O117" s="346"/>
      <c r="P117" s="303"/>
      <c r="Q117" s="280"/>
      <c r="V117" s="120"/>
      <c r="W117" s="120"/>
      <c r="X117" s="120"/>
      <c r="Y117" s="120"/>
      <c r="Z117" s="120"/>
      <c r="AA117" s="120"/>
    </row>
    <row r="118" spans="1:27" s="25" customFormat="1" ht="12.6" customHeight="1" x14ac:dyDescent="0.2">
      <c r="A118" s="27"/>
      <c r="B118" s="302"/>
      <c r="C118" s="120"/>
      <c r="D118" s="137"/>
      <c r="E118" s="137"/>
      <c r="F118" s="397"/>
      <c r="G118" s="154"/>
      <c r="H118" s="154"/>
      <c r="I118" s="154"/>
      <c r="J118" s="179"/>
      <c r="K118" s="137"/>
      <c r="L118" s="330"/>
      <c r="N118" s="396"/>
      <c r="O118" s="341"/>
      <c r="Q118" s="280"/>
      <c r="U118" s="120"/>
      <c r="V118" s="120"/>
      <c r="W118" s="120"/>
      <c r="X118" s="120"/>
      <c r="Y118" s="120"/>
      <c r="Z118" s="120"/>
      <c r="AA118" s="120"/>
    </row>
    <row r="119" spans="1:27" s="25" customFormat="1" ht="12.6" customHeight="1" x14ac:dyDescent="0.2">
      <c r="A119" s="27"/>
      <c r="B119" s="302"/>
      <c r="C119" s="120"/>
      <c r="D119" s="137"/>
      <c r="E119" s="150" t="s">
        <v>272</v>
      </c>
      <c r="F119" s="397"/>
      <c r="G119" s="154"/>
      <c r="H119" s="154"/>
      <c r="I119" s="154"/>
      <c r="J119" s="179"/>
      <c r="K119" s="137"/>
      <c r="L119" s="331"/>
      <c r="M119" s="275"/>
      <c r="N119" s="406"/>
      <c r="O119" s="351"/>
      <c r="P119" s="275"/>
      <c r="Q119" s="280"/>
      <c r="U119" s="120"/>
      <c r="V119" s="120"/>
      <c r="W119" s="120"/>
      <c r="X119" s="120"/>
      <c r="Y119" s="120"/>
      <c r="Z119" s="120"/>
      <c r="AA119" s="120"/>
    </row>
    <row r="120" spans="1:27" s="25" customFormat="1" ht="12.6" customHeight="1" x14ac:dyDescent="0.25">
      <c r="A120" s="27"/>
      <c r="B120" s="302"/>
      <c r="C120" s="120"/>
      <c r="D120" s="120"/>
      <c r="E120" s="138"/>
      <c r="F120" s="386"/>
      <c r="G120" s="120"/>
      <c r="H120" s="120"/>
      <c r="I120" s="120"/>
      <c r="J120" s="386"/>
      <c r="K120" s="120"/>
      <c r="L120" s="331"/>
      <c r="M120" s="275"/>
      <c r="N120" s="406"/>
      <c r="P120" s="275"/>
      <c r="Q120" s="280"/>
      <c r="U120" s="120"/>
      <c r="V120" s="120"/>
      <c r="W120" s="120"/>
      <c r="X120" s="327"/>
      <c r="Y120" s="120"/>
      <c r="Z120" s="120"/>
      <c r="AA120" s="120"/>
    </row>
    <row r="121" spans="1:27" s="25" customFormat="1" ht="12.6" customHeight="1" x14ac:dyDescent="0.2">
      <c r="A121" s="27"/>
      <c r="B121" s="302"/>
      <c r="C121" s="120"/>
      <c r="D121" s="137"/>
      <c r="E121" s="137" t="s">
        <v>170</v>
      </c>
      <c r="F121" s="397"/>
      <c r="G121" s="158"/>
      <c r="H121" s="120"/>
      <c r="I121" s="137" t="s">
        <v>171</v>
      </c>
      <c r="J121" s="397"/>
      <c r="K121" s="158"/>
      <c r="L121" s="314"/>
      <c r="Q121" s="280"/>
      <c r="V121" s="120"/>
      <c r="W121" s="120"/>
      <c r="X121" s="120"/>
      <c r="Y121" s="120"/>
      <c r="Z121" s="120"/>
      <c r="AA121" s="120"/>
    </row>
    <row r="122" spans="1:27" s="25" customFormat="1" ht="12.6" customHeight="1" x14ac:dyDescent="0.2">
      <c r="A122" s="27"/>
      <c r="B122" s="302"/>
      <c r="C122" s="120"/>
      <c r="D122" s="272"/>
      <c r="E122" s="418" t="s">
        <v>306</v>
      </c>
      <c r="F122" s="398"/>
      <c r="G122" s="184"/>
      <c r="H122" s="273"/>
      <c r="I122" s="418" t="s">
        <v>308</v>
      </c>
      <c r="J122" s="404"/>
      <c r="K122" s="184"/>
      <c r="L122" s="314"/>
      <c r="Q122" s="280"/>
      <c r="U122" s="120"/>
      <c r="V122" s="120"/>
      <c r="W122" s="120"/>
      <c r="X122" s="120"/>
      <c r="Y122" s="120"/>
      <c r="Z122" s="120"/>
      <c r="AA122" s="120"/>
    </row>
    <row r="123" spans="1:27" s="25" customFormat="1" ht="12.6" customHeight="1" x14ac:dyDescent="0.2">
      <c r="A123" s="27"/>
      <c r="B123" s="302"/>
      <c r="C123" s="120"/>
      <c r="D123" s="272"/>
      <c r="E123" s="418" t="s">
        <v>307</v>
      </c>
      <c r="F123" s="398"/>
      <c r="G123" s="184"/>
      <c r="H123" s="273"/>
      <c r="I123" s="418" t="s">
        <v>309</v>
      </c>
      <c r="J123" s="398"/>
      <c r="K123" s="184"/>
      <c r="L123" s="314"/>
      <c r="P123" s="120"/>
      <c r="Q123" s="280"/>
      <c r="U123" s="120"/>
      <c r="V123" s="120"/>
      <c r="W123" s="120"/>
      <c r="X123" s="120"/>
      <c r="Y123" s="120"/>
      <c r="Z123" s="120"/>
      <c r="AA123" s="120"/>
    </row>
    <row r="124" spans="1:27" ht="12.6" customHeight="1" x14ac:dyDescent="0.2">
      <c r="A124" s="27"/>
      <c r="B124" s="302"/>
      <c r="D124" s="137"/>
      <c r="E124" s="251"/>
      <c r="F124" s="397"/>
      <c r="G124" s="158"/>
      <c r="H124" s="158"/>
      <c r="I124" s="251"/>
      <c r="J124" s="397"/>
      <c r="K124" s="158"/>
      <c r="L124" s="314"/>
      <c r="Q124" s="280"/>
      <c r="U124" s="25"/>
    </row>
    <row r="125" spans="1:27" ht="12.6" customHeight="1" x14ac:dyDescent="0.2">
      <c r="A125" s="27"/>
      <c r="B125" s="302"/>
      <c r="D125" s="137"/>
      <c r="E125" s="152" t="str">
        <f>E34</f>
        <v>Gruttoschool</v>
      </c>
      <c r="F125" s="399"/>
      <c r="G125" s="175">
        <v>10</v>
      </c>
      <c r="H125" s="25"/>
      <c r="I125" s="152" t="str">
        <f>E125</f>
        <v>Gruttoschool</v>
      </c>
      <c r="J125" s="399"/>
      <c r="K125" s="175">
        <v>13</v>
      </c>
      <c r="L125" s="314"/>
      <c r="Q125" s="280"/>
    </row>
    <row r="126" spans="1:27" ht="12.6" customHeight="1" x14ac:dyDescent="0.2">
      <c r="B126" s="302"/>
      <c r="D126" s="137"/>
      <c r="E126" s="152" t="str">
        <f>E54</f>
        <v>naam school</v>
      </c>
      <c r="F126" s="399"/>
      <c r="G126" s="175">
        <v>0</v>
      </c>
      <c r="H126" s="158"/>
      <c r="I126" s="152" t="str">
        <f>E126</f>
        <v>naam school</v>
      </c>
      <c r="J126" s="399"/>
      <c r="K126" s="175">
        <v>0</v>
      </c>
      <c r="L126" s="314"/>
      <c r="Q126" s="280"/>
      <c r="U126" s="25"/>
    </row>
    <row r="127" spans="1:27" ht="12.6" customHeight="1" x14ac:dyDescent="0.2">
      <c r="B127" s="302"/>
      <c r="D127" s="138"/>
      <c r="E127" s="160" t="s">
        <v>5</v>
      </c>
      <c r="F127" s="400"/>
      <c r="G127" s="176">
        <f>SUM(G125:G126)</f>
        <v>10</v>
      </c>
      <c r="H127" s="198"/>
      <c r="I127" s="160" t="s">
        <v>5</v>
      </c>
      <c r="J127" s="400"/>
      <c r="K127" s="176">
        <f>SUM(K125:K126)</f>
        <v>13</v>
      </c>
      <c r="L127" s="314"/>
      <c r="Q127" s="280"/>
    </row>
    <row r="128" spans="1:27" ht="12.6" customHeight="1" x14ac:dyDescent="0.2">
      <c r="B128" s="302"/>
      <c r="D128" s="227"/>
      <c r="E128" s="482"/>
      <c r="F128" s="483"/>
      <c r="G128" s="482"/>
      <c r="H128" s="198"/>
      <c r="I128" s="482"/>
      <c r="J128" s="483"/>
      <c r="K128" s="482"/>
      <c r="L128" s="323"/>
      <c r="Q128" s="280"/>
    </row>
    <row r="129" spans="2:24" ht="12.6" customHeight="1" x14ac:dyDescent="0.2">
      <c r="B129" s="302"/>
      <c r="D129" s="227"/>
      <c r="E129" s="474"/>
      <c r="F129" s="475"/>
      <c r="G129" s="476"/>
      <c r="H129" s="476"/>
      <c r="I129" s="476"/>
      <c r="J129" s="477"/>
      <c r="K129" s="474"/>
      <c r="L129" s="478"/>
      <c r="M129" s="316"/>
      <c r="N129" s="393"/>
      <c r="O129" s="357"/>
      <c r="Q129" s="280"/>
    </row>
    <row r="130" spans="2:24" ht="12.6" customHeight="1" x14ac:dyDescent="0.2">
      <c r="B130" s="302"/>
      <c r="D130" s="227"/>
      <c r="E130" s="181"/>
      <c r="F130" s="479"/>
      <c r="G130" s="480"/>
      <c r="H130" s="480"/>
      <c r="I130" s="480"/>
      <c r="J130" s="481"/>
      <c r="K130" s="181"/>
      <c r="Q130" s="280"/>
    </row>
    <row r="131" spans="2:24" ht="12.6" customHeight="1" x14ac:dyDescent="0.2">
      <c r="B131" s="302"/>
      <c r="D131" s="227"/>
      <c r="E131" s="160" t="s">
        <v>273</v>
      </c>
      <c r="F131" s="401"/>
      <c r="G131" s="448">
        <f>ROUNDDOWN(G127/K127,2)</f>
        <v>0.76</v>
      </c>
      <c r="I131" s="160" t="s">
        <v>283</v>
      </c>
      <c r="J131" s="401"/>
      <c r="K131" s="488" t="str">
        <f>IF(G131&gt;=50%,"substantiële fusie-instroom",IF(G131&gt;=25%,"beperkte fusie-instroom","geen fusie faciliteit"))</f>
        <v>substantiële fusie-instroom</v>
      </c>
      <c r="L131" s="323"/>
      <c r="Q131" s="280"/>
    </row>
    <row r="132" spans="2:24" ht="12.6" customHeight="1" x14ac:dyDescent="0.2">
      <c r="B132" s="302"/>
      <c r="D132" s="227"/>
      <c r="F132" s="483"/>
      <c r="I132" s="44" t="s">
        <v>284</v>
      </c>
      <c r="J132" s="405"/>
      <c r="K132" s="484">
        <f>IF(K131=E136,G136,(IF(K131=I136,K136,0)))</f>
        <v>368881.38</v>
      </c>
      <c r="L132" s="323"/>
      <c r="Q132" s="280"/>
    </row>
    <row r="133" spans="2:24" ht="12.6" customHeight="1" x14ac:dyDescent="0.2">
      <c r="B133" s="302"/>
      <c r="D133" s="227"/>
      <c r="F133" s="483"/>
      <c r="I133" s="489"/>
      <c r="J133" s="405"/>
      <c r="L133" s="323"/>
      <c r="Q133" s="280"/>
    </row>
    <row r="134" spans="2:24" ht="12.6" customHeight="1" x14ac:dyDescent="0.2">
      <c r="B134" s="302"/>
      <c r="D134" s="213"/>
      <c r="E134" s="474"/>
      <c r="F134" s="475"/>
      <c r="G134" s="476"/>
      <c r="H134" s="476"/>
      <c r="I134" s="476"/>
      <c r="J134" s="477"/>
      <c r="K134" s="474"/>
      <c r="L134" s="478"/>
      <c r="M134" s="316"/>
      <c r="N134" s="393"/>
      <c r="O134" s="357"/>
      <c r="Q134" s="280"/>
    </row>
    <row r="135" spans="2:24" ht="12.6" customHeight="1" x14ac:dyDescent="0.2">
      <c r="B135" s="302"/>
      <c r="D135" s="213"/>
      <c r="E135" s="181"/>
      <c r="F135" s="479"/>
      <c r="G135" s="480"/>
      <c r="H135" s="480"/>
      <c r="I135" s="480"/>
      <c r="J135" s="481"/>
      <c r="K135" s="181"/>
      <c r="Q135" s="280"/>
    </row>
    <row r="136" spans="2:24" ht="12.6" customHeight="1" x14ac:dyDescent="0.2">
      <c r="B136" s="332"/>
      <c r="C136" s="362"/>
      <c r="D136" s="90"/>
      <c r="E136" s="433" t="s">
        <v>101</v>
      </c>
      <c r="F136" s="434"/>
      <c r="G136" s="436">
        <f>SUM(G138:G143)</f>
        <v>368881.38</v>
      </c>
      <c r="H136" s="435"/>
      <c r="I136" s="433" t="s">
        <v>205</v>
      </c>
      <c r="J136" s="434"/>
      <c r="K136" s="436">
        <f>SUM(K138:K142)</f>
        <v>184440.69000000003</v>
      </c>
      <c r="L136" s="314"/>
      <c r="Q136" s="280"/>
    </row>
    <row r="137" spans="2:24" ht="12.6" customHeight="1" x14ac:dyDescent="0.2">
      <c r="B137" s="332"/>
      <c r="C137" s="362"/>
      <c r="D137" s="90"/>
      <c r="E137" s="487" t="s">
        <v>268</v>
      </c>
      <c r="F137" s="485"/>
      <c r="G137" s="486"/>
      <c r="H137" s="485"/>
      <c r="I137" s="487" t="s">
        <v>269</v>
      </c>
      <c r="J137" s="485"/>
      <c r="K137" s="486"/>
      <c r="L137" s="314"/>
      <c r="Q137" s="280"/>
    </row>
    <row r="138" spans="2:24" ht="12.6" customHeight="1" x14ac:dyDescent="0.2">
      <c r="B138" s="302"/>
      <c r="D138" s="90"/>
      <c r="E138" s="326" t="s">
        <v>102</v>
      </c>
      <c r="F138" s="440"/>
      <c r="G138" s="441">
        <f t="shared" ref="G138:G143" si="0">$K$115</f>
        <v>61480.23</v>
      </c>
      <c r="H138" s="441"/>
      <c r="I138" s="326" t="s">
        <v>102</v>
      </c>
      <c r="J138" s="442"/>
      <c r="K138" s="441">
        <f>$K$115*100%</f>
        <v>61480.23</v>
      </c>
      <c r="L138" s="314"/>
      <c r="Q138" s="280"/>
      <c r="X138" s="25"/>
    </row>
    <row r="139" spans="2:24" ht="12.6" customHeight="1" x14ac:dyDescent="0.2">
      <c r="B139" s="302"/>
      <c r="D139" s="90"/>
      <c r="E139" s="326" t="s">
        <v>103</v>
      </c>
      <c r="F139" s="440"/>
      <c r="G139" s="441">
        <f t="shared" si="0"/>
        <v>61480.23</v>
      </c>
      <c r="H139" s="441"/>
      <c r="I139" s="326" t="s">
        <v>103</v>
      </c>
      <c r="J139" s="442"/>
      <c r="K139" s="441">
        <f>$K$115*80%</f>
        <v>49184.184000000008</v>
      </c>
      <c r="L139" s="314"/>
      <c r="Q139" s="280"/>
    </row>
    <row r="140" spans="2:24" ht="12.6" customHeight="1" x14ac:dyDescent="0.2">
      <c r="B140" s="302"/>
      <c r="D140" s="90"/>
      <c r="E140" s="326" t="s">
        <v>104</v>
      </c>
      <c r="F140" s="440"/>
      <c r="G140" s="441">
        <f t="shared" si="0"/>
        <v>61480.23</v>
      </c>
      <c r="H140" s="441"/>
      <c r="I140" s="326" t="s">
        <v>104</v>
      </c>
      <c r="J140" s="442"/>
      <c r="K140" s="441">
        <f>$K$115*60%</f>
        <v>36888.137999999999</v>
      </c>
      <c r="L140" s="314"/>
      <c r="Q140" s="280"/>
    </row>
    <row r="141" spans="2:24" ht="12.6" customHeight="1" x14ac:dyDescent="0.2">
      <c r="B141" s="32"/>
      <c r="C141" s="25"/>
      <c r="D141" s="90"/>
      <c r="E141" s="326" t="s">
        <v>105</v>
      </c>
      <c r="F141" s="443"/>
      <c r="G141" s="441">
        <f t="shared" si="0"/>
        <v>61480.23</v>
      </c>
      <c r="H141" s="441"/>
      <c r="I141" s="326" t="s">
        <v>105</v>
      </c>
      <c r="J141" s="442"/>
      <c r="K141" s="441">
        <f>$K$115*40%</f>
        <v>24592.092000000004</v>
      </c>
      <c r="L141" s="314"/>
      <c r="Q141" s="280"/>
    </row>
    <row r="142" spans="2:24" ht="12.6" customHeight="1" x14ac:dyDescent="0.2">
      <c r="B142" s="302"/>
      <c r="D142" s="90"/>
      <c r="E142" s="326" t="s">
        <v>106</v>
      </c>
      <c r="F142" s="440"/>
      <c r="G142" s="441">
        <f t="shared" si="0"/>
        <v>61480.23</v>
      </c>
      <c r="H142" s="444"/>
      <c r="I142" s="326" t="s">
        <v>106</v>
      </c>
      <c r="J142" s="445"/>
      <c r="K142" s="441">
        <f>$K$115*20%</f>
        <v>12296.046000000002</v>
      </c>
      <c r="L142" s="314"/>
      <c r="Q142" s="280"/>
    </row>
    <row r="143" spans="2:24" ht="12.6" customHeight="1" x14ac:dyDescent="0.2">
      <c r="B143" s="302"/>
      <c r="D143" s="90"/>
      <c r="E143" s="326" t="s">
        <v>209</v>
      </c>
      <c r="F143" s="440"/>
      <c r="G143" s="441">
        <f t="shared" si="0"/>
        <v>61480.23</v>
      </c>
      <c r="H143" s="444"/>
      <c r="I143" s="441"/>
      <c r="J143" s="445"/>
      <c r="K143" s="446"/>
      <c r="L143" s="314"/>
      <c r="Q143" s="33"/>
    </row>
    <row r="144" spans="2:24" ht="12.6" customHeight="1" x14ac:dyDescent="0.2">
      <c r="B144" s="302"/>
      <c r="D144" s="339"/>
      <c r="E144" s="334"/>
      <c r="F144" s="402"/>
      <c r="G144" s="335"/>
      <c r="H144" s="334"/>
      <c r="I144" s="334"/>
      <c r="J144" s="402"/>
      <c r="K144" s="334"/>
      <c r="L144" s="323"/>
      <c r="Q144" s="280"/>
    </row>
    <row r="145" spans="2:27" ht="12.6" customHeight="1" x14ac:dyDescent="0.2">
      <c r="B145" s="302"/>
      <c r="C145" s="303"/>
      <c r="D145" s="303"/>
      <c r="E145" s="31"/>
      <c r="F145" s="408"/>
      <c r="G145" s="303"/>
      <c r="H145" s="303"/>
      <c r="I145" s="303"/>
      <c r="J145" s="408"/>
      <c r="K145" s="303"/>
      <c r="L145" s="303"/>
      <c r="M145" s="303"/>
      <c r="N145" s="408"/>
      <c r="O145" s="346"/>
      <c r="P145" s="303"/>
      <c r="Q145" s="280"/>
    </row>
    <row r="146" spans="2:27" ht="12.6" customHeight="1" x14ac:dyDescent="0.2">
      <c r="B146" s="333"/>
      <c r="C146" s="336"/>
      <c r="D146" s="336"/>
      <c r="E146" s="130"/>
      <c r="F146" s="411"/>
      <c r="G146" s="336"/>
      <c r="H146" s="336"/>
      <c r="I146" s="336"/>
      <c r="J146" s="411"/>
      <c r="K146" s="336"/>
      <c r="L146" s="336"/>
      <c r="M146" s="336"/>
      <c r="N146" s="411"/>
      <c r="O146" s="352"/>
      <c r="P146" s="336"/>
      <c r="Q146" s="337"/>
    </row>
    <row r="147" spans="2:27" ht="12.6" customHeight="1" x14ac:dyDescent="0.2"/>
    <row r="148" spans="2:27" ht="12.6" customHeight="1" x14ac:dyDescent="0.2">
      <c r="E148" s="25"/>
      <c r="F148" s="396"/>
    </row>
    <row r="149" spans="2:27" ht="12.6" customHeight="1" x14ac:dyDescent="0.2">
      <c r="E149" s="25"/>
      <c r="I149" s="25"/>
    </row>
    <row r="150" spans="2:27" ht="12.6" customHeight="1" x14ac:dyDescent="0.2">
      <c r="E150" s="25"/>
      <c r="I150" s="25"/>
    </row>
    <row r="151" spans="2:27" ht="12.6" customHeight="1" x14ac:dyDescent="0.2"/>
    <row r="152" spans="2:27" ht="12.6" customHeight="1" x14ac:dyDescent="0.2"/>
    <row r="153" spans="2:27" ht="12.6" customHeight="1" x14ac:dyDescent="0.2"/>
    <row r="154" spans="2:27" ht="12.6" customHeight="1" x14ac:dyDescent="0.2"/>
    <row r="155" spans="2:27" ht="12.6" customHeight="1" x14ac:dyDescent="0.2">
      <c r="Y155" s="25"/>
      <c r="AA155" s="338"/>
    </row>
    <row r="156" spans="2:27" ht="12.6" customHeight="1" x14ac:dyDescent="0.2">
      <c r="Y156" s="25"/>
      <c r="AA156" s="340"/>
    </row>
    <row r="157" spans="2:27" ht="12.6" customHeight="1" x14ac:dyDescent="0.2">
      <c r="K157" s="25"/>
      <c r="L157" s="25"/>
      <c r="M157" s="25"/>
      <c r="N157" s="396"/>
      <c r="O157" s="341"/>
      <c r="P157" s="25"/>
      <c r="X157" s="25"/>
      <c r="Y157" s="25"/>
    </row>
    <row r="158" spans="2:27" ht="12.6" customHeight="1" x14ac:dyDescent="0.2">
      <c r="AA158" s="298"/>
    </row>
    <row r="159" spans="2:27" ht="12.6" customHeight="1" x14ac:dyDescent="0.2">
      <c r="AA159" s="298"/>
    </row>
    <row r="160" spans="2:27" ht="12.6" customHeight="1" x14ac:dyDescent="0.2">
      <c r="K160" s="25"/>
      <c r="L160" s="25"/>
      <c r="M160" s="25"/>
      <c r="N160" s="396"/>
      <c r="O160" s="341"/>
      <c r="P160" s="25"/>
      <c r="AA160" s="298"/>
    </row>
    <row r="161" spans="11:28" ht="12.6" customHeight="1" x14ac:dyDescent="0.2">
      <c r="R161" s="25"/>
      <c r="S161" s="25"/>
      <c r="T161" s="25"/>
      <c r="X161" s="25"/>
      <c r="Y161" s="25"/>
      <c r="Z161" s="25"/>
      <c r="AA161" s="341"/>
      <c r="AB161" s="25"/>
    </row>
    <row r="162" spans="11:28" ht="12.6" customHeight="1" x14ac:dyDescent="0.2">
      <c r="Z162" s="342"/>
      <c r="AA162" s="298"/>
    </row>
    <row r="163" spans="11:28" ht="12.6" customHeight="1" x14ac:dyDescent="0.2">
      <c r="Z163" s="342"/>
      <c r="AA163" s="298"/>
    </row>
    <row r="164" spans="11:28" ht="12.6" customHeight="1" x14ac:dyDescent="0.2">
      <c r="Q164" s="25"/>
      <c r="R164" s="25"/>
      <c r="S164" s="25"/>
      <c r="T164" s="25"/>
      <c r="X164" s="25"/>
      <c r="Y164" s="25"/>
      <c r="Z164" s="328"/>
      <c r="AA164" s="288"/>
      <c r="AB164" s="25"/>
    </row>
    <row r="165" spans="11:28" ht="12.6" customHeight="1" x14ac:dyDescent="0.2">
      <c r="AA165" s="298"/>
    </row>
    <row r="166" spans="11:28" ht="12.6" customHeight="1" x14ac:dyDescent="0.2">
      <c r="AA166" s="289"/>
    </row>
    <row r="167" spans="11:28" ht="12.6" customHeight="1" x14ac:dyDescent="0.2">
      <c r="Q167" s="25"/>
      <c r="X167" s="25"/>
      <c r="Y167" s="25"/>
      <c r="AA167" s="341"/>
    </row>
    <row r="168" spans="11:28" ht="12.6" customHeight="1" x14ac:dyDescent="0.2">
      <c r="K168" s="25"/>
      <c r="L168" s="25"/>
      <c r="M168" s="25"/>
      <c r="N168" s="396"/>
      <c r="O168" s="341"/>
      <c r="P168" s="25"/>
      <c r="AA168" s="318"/>
    </row>
    <row r="169" spans="11:28" ht="12.6" customHeight="1" x14ac:dyDescent="0.2">
      <c r="AA169" s="318"/>
    </row>
    <row r="170" spans="11:28" ht="12.6" customHeight="1" x14ac:dyDescent="0.2">
      <c r="AA170" s="318"/>
    </row>
    <row r="171" spans="11:28" ht="12.6" customHeight="1" x14ac:dyDescent="0.2">
      <c r="AA171" s="318"/>
    </row>
    <row r="172" spans="11:28" ht="12.6" customHeight="1" x14ac:dyDescent="0.2">
      <c r="R172" s="25"/>
      <c r="S172" s="25"/>
      <c r="T172" s="25"/>
      <c r="Y172" s="25"/>
      <c r="Z172" s="25"/>
      <c r="AA172" s="295"/>
      <c r="AB172" s="25"/>
    </row>
    <row r="173" spans="11:28" ht="12.6" customHeight="1" x14ac:dyDescent="0.2">
      <c r="X173" s="25"/>
      <c r="Y173" s="25"/>
      <c r="AA173" s="318"/>
    </row>
    <row r="174" spans="11:28" ht="12.6" customHeight="1" x14ac:dyDescent="0.2">
      <c r="AA174" s="343"/>
    </row>
    <row r="175" spans="11:28" ht="12.6" customHeight="1" x14ac:dyDescent="0.2">
      <c r="Q175" s="25"/>
    </row>
    <row r="176" spans="11:28" ht="12.6" customHeight="1" x14ac:dyDescent="0.2"/>
    <row r="177" spans="1:24" ht="12.6" customHeight="1" x14ac:dyDescent="0.2"/>
    <row r="178" spans="1:24" ht="12.6" customHeight="1" x14ac:dyDescent="0.2"/>
    <row r="179" spans="1:24" ht="12.6" customHeight="1" x14ac:dyDescent="0.2"/>
    <row r="180" spans="1:24" ht="12.6" customHeight="1" x14ac:dyDescent="0.2"/>
    <row r="181" spans="1:24" ht="12.6" customHeight="1" x14ac:dyDescent="0.2">
      <c r="I181" s="27"/>
    </row>
    <row r="182" spans="1:24" ht="12.6" customHeight="1" x14ac:dyDescent="0.2">
      <c r="I182" s="27"/>
    </row>
    <row r="183" spans="1:24" ht="12.6" customHeight="1" x14ac:dyDescent="0.25">
      <c r="I183" s="27"/>
      <c r="X183" s="327"/>
    </row>
    <row r="184" spans="1:24" ht="12.6" customHeight="1" x14ac:dyDescent="0.2"/>
    <row r="185" spans="1:24" ht="12.6" customHeight="1" x14ac:dyDescent="0.2"/>
    <row r="186" spans="1:24" ht="12.6" customHeight="1" x14ac:dyDescent="0.2"/>
    <row r="187" spans="1:24" ht="12.6" customHeight="1" x14ac:dyDescent="0.2"/>
    <row r="188" spans="1:24" ht="12.6" customHeight="1" x14ac:dyDescent="0.2">
      <c r="A188" s="27"/>
    </row>
    <row r="189" spans="1:24" ht="12.6" customHeight="1" x14ac:dyDescent="0.2">
      <c r="A189" s="27"/>
    </row>
    <row r="190" spans="1:24" ht="12.6" customHeight="1" x14ac:dyDescent="0.2">
      <c r="A190" s="27"/>
    </row>
    <row r="191" spans="1:24" ht="12.6" customHeight="1" x14ac:dyDescent="0.2">
      <c r="A191" s="27"/>
    </row>
    <row r="192" spans="1:24" ht="12.6" customHeight="1" x14ac:dyDescent="0.2">
      <c r="A192" s="27"/>
    </row>
    <row r="193" spans="1:27" ht="12.6" customHeight="1" x14ac:dyDescent="0.2">
      <c r="A193" s="27"/>
    </row>
    <row r="194" spans="1:27" ht="12.6" customHeight="1" x14ac:dyDescent="0.2">
      <c r="A194" s="27"/>
    </row>
    <row r="195" spans="1:27" ht="12.6" customHeight="1" x14ac:dyDescent="0.2">
      <c r="A195" s="27"/>
    </row>
    <row r="196" spans="1:27" ht="12.6" customHeight="1" x14ac:dyDescent="0.2">
      <c r="A196" s="27"/>
    </row>
    <row r="197" spans="1:27" ht="12.6" customHeight="1" x14ac:dyDescent="0.2">
      <c r="A197" s="27"/>
    </row>
    <row r="198" spans="1:27" ht="12.6" customHeight="1" x14ac:dyDescent="0.2">
      <c r="A198" s="27"/>
    </row>
    <row r="199" spans="1:27" ht="12.6" customHeight="1" x14ac:dyDescent="0.2">
      <c r="A199" s="27"/>
    </row>
    <row r="200" spans="1:27" ht="12.6" customHeight="1" x14ac:dyDescent="0.2">
      <c r="A200" s="27"/>
      <c r="X200" s="25"/>
    </row>
    <row r="201" spans="1:27" ht="12.6" customHeight="1" x14ac:dyDescent="0.2">
      <c r="A201" s="27"/>
    </row>
    <row r="202" spans="1:27" ht="12.6" customHeight="1" x14ac:dyDescent="0.2">
      <c r="A202" s="27"/>
    </row>
    <row r="203" spans="1:27" ht="12.6" customHeight="1" x14ac:dyDescent="0.2">
      <c r="A203" s="27"/>
    </row>
    <row r="204" spans="1:27" ht="12.6" customHeight="1" x14ac:dyDescent="0.2">
      <c r="A204" s="27"/>
    </row>
    <row r="205" spans="1:27" ht="12.6" customHeight="1" x14ac:dyDescent="0.2">
      <c r="A205" s="27"/>
    </row>
    <row r="206" spans="1:27" ht="12.6" customHeight="1" x14ac:dyDescent="0.2">
      <c r="A206" s="27"/>
    </row>
    <row r="207" spans="1:27" s="327" customFormat="1" ht="12.6" customHeight="1" x14ac:dyDescent="0.25">
      <c r="A207" s="120"/>
      <c r="B207" s="120"/>
      <c r="C207" s="120"/>
      <c r="D207" s="120"/>
      <c r="E207" s="120"/>
      <c r="F207" s="386"/>
      <c r="G207" s="120"/>
      <c r="H207" s="120"/>
      <c r="I207" s="120"/>
      <c r="J207" s="386"/>
      <c r="K207" s="120"/>
      <c r="L207" s="120"/>
      <c r="M207" s="120"/>
      <c r="N207" s="386"/>
      <c r="O207" s="298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</row>
    <row r="208" spans="1:27" ht="12.6" customHeight="1" x14ac:dyDescent="0.2"/>
    <row r="209" spans="1:27" ht="12.6" customHeight="1" x14ac:dyDescent="0.2"/>
    <row r="210" spans="1:27" ht="12.6" customHeight="1" x14ac:dyDescent="0.2"/>
    <row r="211" spans="1:27" ht="12.6" customHeight="1" x14ac:dyDescent="0.2"/>
    <row r="212" spans="1:27" ht="12.6" customHeight="1" x14ac:dyDescent="0.2"/>
    <row r="213" spans="1:27" ht="12.6" customHeight="1" x14ac:dyDescent="0.2"/>
    <row r="214" spans="1:27" ht="12.6" customHeight="1" x14ac:dyDescent="0.2"/>
    <row r="215" spans="1:27" ht="12.6" customHeight="1" x14ac:dyDescent="0.25">
      <c r="Y215" s="327"/>
      <c r="Z215" s="327"/>
      <c r="AA215" s="327"/>
    </row>
    <row r="216" spans="1:27" ht="12.6" customHeight="1" x14ac:dyDescent="0.2"/>
    <row r="217" spans="1:27" ht="12.6" customHeight="1" x14ac:dyDescent="0.2"/>
    <row r="218" spans="1:27" ht="12.6" customHeight="1" x14ac:dyDescent="0.2"/>
    <row r="219" spans="1:27" ht="12.6" customHeight="1" x14ac:dyDescent="0.2"/>
    <row r="220" spans="1:27" ht="12.6" customHeight="1" x14ac:dyDescent="0.2"/>
    <row r="221" spans="1:27" ht="12.6" customHeight="1" x14ac:dyDescent="0.2"/>
    <row r="224" spans="1:27" s="25" customFormat="1" x14ac:dyDescent="0.2">
      <c r="A224" s="120"/>
      <c r="B224" s="120"/>
      <c r="C224" s="120"/>
      <c r="D224" s="120"/>
      <c r="E224" s="120"/>
      <c r="F224" s="386"/>
      <c r="G224" s="120"/>
      <c r="H224" s="120"/>
      <c r="I224" s="120"/>
      <c r="J224" s="386"/>
      <c r="K224" s="120"/>
      <c r="L224" s="120"/>
      <c r="M224" s="120"/>
      <c r="N224" s="386"/>
      <c r="O224" s="298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</row>
    <row r="232" spans="25:27" x14ac:dyDescent="0.2">
      <c r="Y232" s="25"/>
      <c r="Z232" s="25"/>
      <c r="AA232" s="25"/>
    </row>
    <row r="243" spans="25:38" x14ac:dyDescent="0.2">
      <c r="Y243" s="343"/>
      <c r="Z243" s="343"/>
      <c r="AA243" s="344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</row>
    <row r="244" spans="25:38" x14ac:dyDescent="0.2">
      <c r="Y244" s="343"/>
      <c r="Z244" s="343"/>
      <c r="AA244" s="344"/>
    </row>
    <row r="245" spans="25:38" x14ac:dyDescent="0.2">
      <c r="Y245" s="343"/>
      <c r="Z245" s="343"/>
      <c r="AA245" s="344"/>
    </row>
    <row r="246" spans="25:38" x14ac:dyDescent="0.2">
      <c r="Y246" s="343"/>
      <c r="Z246" s="343"/>
      <c r="AA246" s="344"/>
    </row>
    <row r="247" spans="25:38" x14ac:dyDescent="0.2">
      <c r="Y247" s="343"/>
      <c r="Z247" s="343"/>
      <c r="AA247" s="344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</row>
    <row r="248" spans="25:38" x14ac:dyDescent="0.2">
      <c r="Y248" s="343"/>
      <c r="Z248" s="343"/>
      <c r="AA248" s="344"/>
    </row>
    <row r="249" spans="25:38" x14ac:dyDescent="0.2">
      <c r="Y249" s="343"/>
      <c r="Z249" s="343"/>
      <c r="AA249" s="344"/>
    </row>
    <row r="250" spans="25:38" x14ac:dyDescent="0.2">
      <c r="Y250" s="343"/>
      <c r="Z250" s="343"/>
      <c r="AA250" s="344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</row>
    <row r="251" spans="25:38" x14ac:dyDescent="0.2">
      <c r="Y251" s="345"/>
      <c r="Z251" s="345"/>
      <c r="AA251" s="344"/>
    </row>
    <row r="252" spans="25:38" x14ac:dyDescent="0.2">
      <c r="Y252" s="343"/>
      <c r="Z252" s="343"/>
      <c r="AA252" s="344"/>
    </row>
    <row r="253" spans="25:38" x14ac:dyDescent="0.2">
      <c r="Y253" s="343"/>
      <c r="Z253" s="343"/>
      <c r="AA253" s="344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</row>
    <row r="254" spans="25:38" x14ac:dyDescent="0.2">
      <c r="Y254" s="343"/>
      <c r="Z254" s="343"/>
      <c r="AA254" s="344"/>
    </row>
    <row r="255" spans="25:38" x14ac:dyDescent="0.2">
      <c r="Y255" s="345"/>
      <c r="Z255" s="345"/>
      <c r="AA255" s="344"/>
    </row>
    <row r="256" spans="25:38" x14ac:dyDescent="0.2">
      <c r="Y256" s="343"/>
      <c r="Z256" s="343"/>
      <c r="AA256" s="344"/>
    </row>
    <row r="257" spans="25:38" x14ac:dyDescent="0.2">
      <c r="Y257" s="343"/>
      <c r="Z257" s="343"/>
      <c r="AA257" s="344"/>
    </row>
    <row r="258" spans="25:38" x14ac:dyDescent="0.2">
      <c r="Y258" s="345"/>
      <c r="Z258" s="345"/>
      <c r="AA258" s="344"/>
    </row>
    <row r="259" spans="25:38" x14ac:dyDescent="0.2">
      <c r="Y259" s="343"/>
      <c r="Z259" s="343"/>
      <c r="AA259" s="344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</row>
    <row r="260" spans="25:38" x14ac:dyDescent="0.2">
      <c r="Y260" s="343"/>
      <c r="Z260" s="343"/>
      <c r="AA260" s="344"/>
    </row>
    <row r="261" spans="25:38" x14ac:dyDescent="0.2">
      <c r="Y261" s="345"/>
      <c r="Z261" s="345"/>
      <c r="AA261" s="344"/>
    </row>
    <row r="262" spans="25:38" x14ac:dyDescent="0.2">
      <c r="Y262" s="343"/>
      <c r="Z262" s="343"/>
      <c r="AA262" s="344"/>
    </row>
    <row r="263" spans="25:38" x14ac:dyDescent="0.2">
      <c r="Y263" s="343"/>
      <c r="Z263" s="343"/>
      <c r="AA263" s="344"/>
    </row>
    <row r="264" spans="25:38" x14ac:dyDescent="0.2">
      <c r="Y264" s="343"/>
      <c r="Z264" s="343"/>
      <c r="AA264" s="344"/>
    </row>
    <row r="265" spans="25:38" x14ac:dyDescent="0.2">
      <c r="Y265" s="343"/>
      <c r="Z265" s="343"/>
      <c r="AA265" s="344"/>
    </row>
    <row r="266" spans="25:38" x14ac:dyDescent="0.2">
      <c r="Y266" s="343"/>
      <c r="Z266" s="343"/>
      <c r="AA266" s="344"/>
    </row>
    <row r="267" spans="25:38" x14ac:dyDescent="0.2">
      <c r="Y267" s="345"/>
      <c r="Z267" s="345"/>
      <c r="AA267" s="344"/>
    </row>
    <row r="268" spans="25:38" x14ac:dyDescent="0.2">
      <c r="Y268" s="343"/>
      <c r="Z268" s="343"/>
      <c r="AA268" s="344"/>
    </row>
    <row r="269" spans="25:38" ht="15.75" x14ac:dyDescent="0.25">
      <c r="Y269" s="343"/>
      <c r="Z269" s="343"/>
      <c r="AA269" s="344"/>
      <c r="AB269" s="327"/>
      <c r="AC269" s="327"/>
      <c r="AD269" s="327"/>
      <c r="AE269" s="327"/>
      <c r="AF269" s="327"/>
      <c r="AG269" s="327"/>
      <c r="AH269" s="327"/>
      <c r="AI269" s="327"/>
      <c r="AJ269" s="327"/>
      <c r="AK269" s="327"/>
      <c r="AL269" s="327"/>
    </row>
    <row r="270" spans="25:38" x14ac:dyDescent="0.2">
      <c r="Y270" s="343"/>
      <c r="Z270" s="343"/>
      <c r="AA270" s="344"/>
    </row>
    <row r="271" spans="25:38" x14ac:dyDescent="0.2">
      <c r="Y271" s="343"/>
      <c r="Z271" s="343"/>
      <c r="AA271" s="344"/>
    </row>
    <row r="272" spans="25:38" x14ac:dyDescent="0.2">
      <c r="Y272" s="343"/>
      <c r="Z272" s="343"/>
      <c r="AA272" s="344"/>
    </row>
    <row r="273" spans="25:38" x14ac:dyDescent="0.2">
      <c r="Y273" s="343"/>
      <c r="Z273" s="343"/>
      <c r="AA273" s="344"/>
    </row>
    <row r="274" spans="25:38" x14ac:dyDescent="0.2">
      <c r="Y274" s="343"/>
      <c r="Z274" s="343"/>
      <c r="AA274" s="344"/>
    </row>
    <row r="275" spans="25:38" x14ac:dyDescent="0.2">
      <c r="Y275" s="343"/>
      <c r="Z275" s="343"/>
      <c r="AA275" s="344"/>
    </row>
    <row r="276" spans="25:38" x14ac:dyDescent="0.2">
      <c r="Y276" s="343"/>
      <c r="Z276" s="343"/>
      <c r="AA276" s="344"/>
    </row>
    <row r="277" spans="25:38" ht="15.75" x14ac:dyDescent="0.25">
      <c r="Y277" s="327"/>
      <c r="Z277" s="327"/>
      <c r="AA277" s="327"/>
    </row>
    <row r="278" spans="25:38" x14ac:dyDescent="0.2">
      <c r="Z278" s="343"/>
      <c r="AA278" s="344"/>
    </row>
    <row r="279" spans="25:38" x14ac:dyDescent="0.2">
      <c r="Z279" s="343"/>
      <c r="AA279" s="344"/>
    </row>
    <row r="280" spans="25:38" x14ac:dyDescent="0.2">
      <c r="Z280" s="343"/>
      <c r="AA280" s="344"/>
    </row>
    <row r="281" spans="25:38" x14ac:dyDescent="0.2">
      <c r="Y281" s="343"/>
      <c r="Z281" s="343"/>
      <c r="AA281" s="344"/>
    </row>
    <row r="282" spans="25:38" x14ac:dyDescent="0.2">
      <c r="Y282" s="343"/>
      <c r="Z282" s="343"/>
      <c r="AA282" s="344"/>
    </row>
    <row r="286" spans="25:38" x14ac:dyDescent="0.2"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</row>
    <row r="294" spans="25:27" x14ac:dyDescent="0.2">
      <c r="Y294" s="25"/>
      <c r="Z294" s="25"/>
      <c r="AA294" s="25"/>
    </row>
  </sheetData>
  <sheetProtection algorithmName="SHA-512" hashValue="PihkH4fXV7zEzUX4fxQWYOQakfHxgwfUUfLJxISWKsm6TvWslJ0VAxmbvYuJFWTvnfSFmBfoBQiLV3uI5XCf4Q==" saltValue="1h/NZ5cg1SF6qPPXoYWlAg==" spinCount="100000" sheet="1" objects="1" scenarios="1"/>
  <phoneticPr fontId="0" type="noConversion"/>
  <dataValidations count="1">
    <dataValidation type="list" allowBlank="1" showInputMessage="1" showErrorMessage="1" sqref="G89 K63 G43 G20 K43 G63 K11 K54 K80 K34 K20 K89 O20 O63 O43 O89">
      <formula1>"ja,nee"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&amp;L&amp;"Arial,Vet"&amp;A&amp;C&amp;"Arial,Vet"&amp;F&amp;R&amp;"Arial,Vet"&amp;D</oddHeader>
    <oddFooter>&amp;L&amp;"Arial,Vet"PO-Raad&amp;R&amp;"Arial,Vet"&amp;P</oddFooter>
  </headerFooter>
  <rowBreaks count="1" manualBreakCount="1">
    <brk id="74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S60"/>
  <sheetViews>
    <sheetView zoomScale="85" zoomScaleNormal="85" workbookViewId="0">
      <selection activeCell="B2" sqref="B2"/>
    </sheetView>
  </sheetViews>
  <sheetFormatPr defaultColWidth="8.85546875" defaultRowHeight="12.6" customHeight="1" x14ac:dyDescent="0.2"/>
  <cols>
    <col min="1" max="1" width="4.140625" style="267" customWidth="1"/>
    <col min="2" max="3" width="3" style="267" customWidth="1"/>
    <col min="4" max="4" width="25.7109375" style="267" customWidth="1"/>
    <col min="5" max="5" width="2.7109375" style="267" customWidth="1"/>
    <col min="6" max="9" width="15.7109375" style="267" customWidth="1"/>
    <col min="10" max="11" width="3" style="267" customWidth="1"/>
    <col min="12" max="14" width="2.85546875" style="267" customWidth="1"/>
    <col min="15" max="15" width="9.42578125" style="268" bestFit="1" customWidth="1"/>
    <col min="16" max="18" width="8.85546875" style="268"/>
    <col min="19" max="19" width="8.85546875" style="142"/>
    <col min="20" max="16384" width="8.85546875" style="267"/>
  </cols>
  <sheetData>
    <row r="2" spans="2:18" ht="12.6" customHeight="1" x14ac:dyDescent="0.2">
      <c r="B2" s="131"/>
      <c r="C2" s="132"/>
      <c r="D2" s="132"/>
      <c r="E2" s="132"/>
      <c r="F2" s="132"/>
      <c r="G2" s="132"/>
      <c r="H2" s="132"/>
      <c r="I2" s="132"/>
      <c r="J2" s="132"/>
      <c r="K2" s="133"/>
    </row>
    <row r="3" spans="2:18" ht="12.6" customHeight="1" x14ac:dyDescent="0.2">
      <c r="B3" s="134"/>
      <c r="C3" s="135"/>
      <c r="D3" s="135"/>
      <c r="E3" s="135"/>
      <c r="F3" s="135"/>
      <c r="G3" s="135"/>
      <c r="H3" s="135"/>
      <c r="I3" s="135"/>
      <c r="J3" s="135"/>
      <c r="K3" s="136"/>
    </row>
    <row r="4" spans="2:18" ht="16.149999999999999" customHeight="1" x14ac:dyDescent="0.3">
      <c r="B4" s="134"/>
      <c r="C4" s="159" t="s">
        <v>212</v>
      </c>
      <c r="D4" s="135"/>
      <c r="E4" s="135"/>
      <c r="F4" s="153"/>
      <c r="G4" s="153"/>
      <c r="H4" s="153"/>
      <c r="I4" s="153"/>
      <c r="J4" s="135"/>
      <c r="K4" s="136"/>
    </row>
    <row r="5" spans="2:18" ht="12.6" customHeight="1" x14ac:dyDescent="0.2">
      <c r="B5" s="134"/>
      <c r="C5" s="135"/>
      <c r="D5" s="135"/>
      <c r="E5" s="135"/>
      <c r="F5" s="153"/>
      <c r="G5" s="153"/>
      <c r="H5" s="153"/>
      <c r="I5" s="153"/>
      <c r="J5" s="135"/>
      <c r="K5" s="136"/>
    </row>
    <row r="6" spans="2:18" ht="12.6" customHeight="1" x14ac:dyDescent="0.2">
      <c r="B6" s="134"/>
      <c r="C6" s="135"/>
      <c r="D6" s="135"/>
      <c r="E6" s="135"/>
      <c r="F6" s="153"/>
      <c r="G6" s="153"/>
      <c r="H6" s="153"/>
      <c r="I6" s="153"/>
      <c r="J6" s="135"/>
      <c r="K6" s="136"/>
    </row>
    <row r="7" spans="2:18" ht="12.6" customHeight="1" x14ac:dyDescent="0.2">
      <c r="B7" s="134"/>
      <c r="C7" s="137"/>
      <c r="D7" s="137"/>
      <c r="E7" s="137"/>
      <c r="F7" s="154"/>
      <c r="G7" s="154"/>
      <c r="H7" s="154"/>
      <c r="I7" s="154"/>
      <c r="J7" s="224"/>
      <c r="K7" s="136"/>
    </row>
    <row r="8" spans="2:18" ht="12.6" customHeight="1" x14ac:dyDescent="0.2">
      <c r="B8" s="134"/>
      <c r="C8" s="137"/>
      <c r="D8" s="137" t="s">
        <v>320</v>
      </c>
      <c r="E8" s="137"/>
      <c r="F8" s="154"/>
      <c r="G8" s="154"/>
      <c r="H8" s="154"/>
      <c r="I8" s="154"/>
      <c r="J8" s="224"/>
      <c r="K8" s="136"/>
    </row>
    <row r="9" spans="2:18" ht="12.6" customHeight="1" x14ac:dyDescent="0.2">
      <c r="B9" s="134"/>
      <c r="C9" s="137"/>
      <c r="D9" s="137" t="s">
        <v>319</v>
      </c>
      <c r="E9" s="137"/>
      <c r="F9" s="154"/>
      <c r="G9" s="154"/>
      <c r="H9" s="154"/>
      <c r="I9" s="154"/>
      <c r="J9" s="224"/>
      <c r="K9" s="136"/>
    </row>
    <row r="10" spans="2:18" ht="12.6" customHeight="1" x14ac:dyDescent="0.2">
      <c r="B10" s="134"/>
      <c r="C10" s="137"/>
      <c r="D10" s="137" t="s">
        <v>186</v>
      </c>
      <c r="E10" s="137"/>
      <c r="F10" s="154"/>
      <c r="G10" s="154"/>
      <c r="H10" s="154"/>
      <c r="I10" s="154"/>
      <c r="J10" s="224"/>
      <c r="K10" s="136"/>
    </row>
    <row r="11" spans="2:18" ht="12.6" customHeight="1" x14ac:dyDescent="0.2">
      <c r="B11" s="134"/>
      <c r="C11" s="137"/>
      <c r="D11" s="137" t="s">
        <v>276</v>
      </c>
      <c r="E11" s="137"/>
      <c r="F11" s="154"/>
      <c r="G11" s="154"/>
      <c r="H11" s="154"/>
      <c r="I11" s="154"/>
      <c r="J11" s="224"/>
      <c r="K11" s="136"/>
    </row>
    <row r="12" spans="2:18" ht="12.6" customHeight="1" x14ac:dyDescent="0.2">
      <c r="B12" s="134"/>
      <c r="C12" s="137"/>
      <c r="D12" s="137" t="s">
        <v>321</v>
      </c>
      <c r="E12" s="137"/>
      <c r="F12" s="154"/>
      <c r="G12" s="154"/>
      <c r="H12" s="154"/>
      <c r="I12" s="154"/>
      <c r="J12" s="224"/>
      <c r="K12" s="136"/>
    </row>
    <row r="13" spans="2:18" ht="12.6" customHeight="1" x14ac:dyDescent="0.2">
      <c r="B13" s="134"/>
      <c r="C13" s="213"/>
      <c r="D13" s="213"/>
      <c r="E13" s="213"/>
      <c r="F13" s="223"/>
      <c r="G13" s="223"/>
      <c r="H13" s="223"/>
      <c r="I13" s="223"/>
      <c r="J13" s="250"/>
      <c r="K13" s="136"/>
    </row>
    <row r="14" spans="2:18" ht="12.6" customHeight="1" x14ac:dyDescent="0.2">
      <c r="B14" s="134"/>
      <c r="C14" s="135"/>
      <c r="D14" s="135"/>
      <c r="E14" s="135"/>
      <c r="F14" s="153"/>
      <c r="G14" s="153"/>
      <c r="H14" s="153"/>
      <c r="I14" s="153"/>
      <c r="J14" s="135"/>
      <c r="K14" s="136"/>
    </row>
    <row r="15" spans="2:18" ht="12.6" customHeight="1" x14ac:dyDescent="0.2">
      <c r="B15" s="134"/>
      <c r="C15" s="174"/>
      <c r="D15" s="174"/>
      <c r="E15" s="174"/>
      <c r="F15" s="254"/>
      <c r="G15" s="254"/>
      <c r="H15" s="254"/>
      <c r="I15" s="254"/>
      <c r="J15" s="142"/>
      <c r="K15" s="136"/>
      <c r="O15" s="259"/>
      <c r="P15" s="252"/>
      <c r="Q15" s="252"/>
      <c r="R15" s="252"/>
    </row>
    <row r="16" spans="2:18" ht="12.6" customHeight="1" x14ac:dyDescent="0.2">
      <c r="B16" s="134"/>
      <c r="C16" s="142"/>
      <c r="D16" s="499" t="s">
        <v>322</v>
      </c>
      <c r="E16" s="174"/>
      <c r="F16" s="254"/>
      <c r="G16" s="254"/>
      <c r="H16" s="254"/>
      <c r="I16" s="254"/>
      <c r="J16" s="142"/>
      <c r="K16" s="136"/>
      <c r="O16" s="259"/>
      <c r="P16" s="252"/>
      <c r="Q16" s="252"/>
      <c r="R16" s="252"/>
    </row>
    <row r="17" spans="2:18" ht="12.6" customHeight="1" x14ac:dyDescent="0.2">
      <c r="B17" s="134"/>
      <c r="C17" s="142"/>
      <c r="D17" s="498"/>
      <c r="E17" s="174"/>
      <c r="F17" s="254"/>
      <c r="G17" s="254"/>
      <c r="H17" s="254"/>
      <c r="I17" s="254"/>
      <c r="J17" s="142"/>
      <c r="K17" s="136"/>
      <c r="O17" s="259"/>
      <c r="P17" s="252"/>
      <c r="Q17" s="252"/>
      <c r="R17" s="252"/>
    </row>
    <row r="18" spans="2:18" ht="12.6" customHeight="1" x14ac:dyDescent="0.2">
      <c r="B18" s="134"/>
      <c r="C18" s="142"/>
      <c r="D18" s="253" t="str">
        <f>'faciliteiten bij fusie'!E34</f>
        <v>Gruttoschool</v>
      </c>
      <c r="E18" s="137"/>
      <c r="F18" s="154"/>
      <c r="G18" s="154"/>
      <c r="H18" s="154"/>
      <c r="I18" s="154"/>
      <c r="J18" s="142"/>
      <c r="K18" s="136"/>
    </row>
    <row r="19" spans="2:18" ht="12.6" customHeight="1" x14ac:dyDescent="0.2">
      <c r="B19" s="147"/>
      <c r="C19" s="142"/>
      <c r="D19" s="264" t="s">
        <v>188</v>
      </c>
      <c r="E19" s="137"/>
      <c r="F19" s="175" t="s">
        <v>187</v>
      </c>
      <c r="G19" s="266" t="str">
        <f>IF('faciliteiten bij fusie'!G39=0,"nvt",IF('faciliteiten bij fusie'!G39&lt;145,"(zeer) kleine basisschool, dus in principe check nodig","geen (zeer) kleine basisschool, geen check nodig"))</f>
        <v>(zeer) kleine basisschool, dus in principe check nodig</v>
      </c>
      <c r="H19" s="152"/>
      <c r="I19" s="154"/>
      <c r="J19" s="224"/>
      <c r="K19" s="148"/>
    </row>
    <row r="20" spans="2:18" ht="12.6" customHeight="1" x14ac:dyDescent="0.2">
      <c r="B20" s="147"/>
      <c r="C20" s="142"/>
      <c r="D20" s="264"/>
      <c r="E20" s="137"/>
      <c r="F20" s="265"/>
      <c r="G20" s="265"/>
      <c r="H20" s="152"/>
      <c r="I20" s="154"/>
      <c r="J20" s="224"/>
      <c r="K20" s="148"/>
    </row>
    <row r="21" spans="2:18" ht="12.6" customHeight="1" x14ac:dyDescent="0.2">
      <c r="B21" s="134"/>
      <c r="C21" s="137"/>
      <c r="D21" s="230" t="s">
        <v>92</v>
      </c>
      <c r="E21" s="138"/>
      <c r="F21" s="493">
        <v>43374</v>
      </c>
      <c r="G21" s="493">
        <v>43009</v>
      </c>
      <c r="H21" s="493">
        <v>42644</v>
      </c>
      <c r="I21" s="493">
        <v>42278</v>
      </c>
      <c r="J21" s="224"/>
      <c r="K21" s="136"/>
    </row>
    <row r="22" spans="2:18" ht="12.6" customHeight="1" x14ac:dyDescent="0.2">
      <c r="B22" s="134"/>
      <c r="C22" s="138"/>
      <c r="D22" s="137" t="s">
        <v>93</v>
      </c>
      <c r="E22" s="138"/>
      <c r="F22" s="236">
        <v>0</v>
      </c>
      <c r="G22" s="236">
        <v>0</v>
      </c>
      <c r="H22" s="236">
        <v>0</v>
      </c>
      <c r="I22" s="236">
        <v>0</v>
      </c>
      <c r="J22" s="224"/>
      <c r="K22" s="136"/>
      <c r="O22" s="260">
        <f>IF('complete leerlingpopulatie'!F22=0,1,0)</f>
        <v>1</v>
      </c>
      <c r="P22" s="260">
        <f>IF('complete leerlingpopulatie'!G22=0,1,0)</f>
        <v>1</v>
      </c>
      <c r="Q22" s="260">
        <f>IF('complete leerlingpopulatie'!H22=0,1,0)</f>
        <v>1</v>
      </c>
      <c r="R22" s="260">
        <f>IF('complete leerlingpopulatie'!I22=0,1,0)</f>
        <v>1</v>
      </c>
    </row>
    <row r="23" spans="2:18" ht="12.6" customHeight="1" x14ac:dyDescent="0.2">
      <c r="B23" s="134"/>
      <c r="C23" s="137"/>
      <c r="D23" s="137" t="s">
        <v>94</v>
      </c>
      <c r="E23" s="138"/>
      <c r="F23" s="236">
        <v>0</v>
      </c>
      <c r="G23" s="236">
        <v>0</v>
      </c>
      <c r="H23" s="236">
        <v>0</v>
      </c>
      <c r="I23" s="236">
        <v>1</v>
      </c>
      <c r="J23" s="224"/>
      <c r="K23" s="136"/>
      <c r="O23" s="260">
        <f>IF('complete leerlingpopulatie'!F23=0,1,0)</f>
        <v>1</v>
      </c>
      <c r="P23" s="260">
        <f>IF('complete leerlingpopulatie'!G23=0,1,0)</f>
        <v>1</v>
      </c>
      <c r="Q23" s="260">
        <f>IF('complete leerlingpopulatie'!H23=0,1,0)</f>
        <v>1</v>
      </c>
      <c r="R23" s="260">
        <f>IF('complete leerlingpopulatie'!I23=0,1,0)</f>
        <v>0</v>
      </c>
    </row>
    <row r="24" spans="2:18" ht="12.6" customHeight="1" x14ac:dyDescent="0.2">
      <c r="B24" s="134"/>
      <c r="C24" s="137"/>
      <c r="D24" s="137" t="s">
        <v>95</v>
      </c>
      <c r="E24" s="138"/>
      <c r="F24" s="236">
        <v>0</v>
      </c>
      <c r="G24" s="236">
        <v>0</v>
      </c>
      <c r="H24" s="236">
        <v>1</v>
      </c>
      <c r="I24" s="236">
        <v>2</v>
      </c>
      <c r="J24" s="224"/>
      <c r="K24" s="136"/>
      <c r="O24" s="260">
        <f>IF('complete leerlingpopulatie'!F24=0,1,0)</f>
        <v>1</v>
      </c>
      <c r="P24" s="260">
        <f>IF('complete leerlingpopulatie'!G24=0,1,0)</f>
        <v>1</v>
      </c>
      <c r="Q24" s="260">
        <f>IF('complete leerlingpopulatie'!H24=0,1,0)</f>
        <v>0</v>
      </c>
      <c r="R24" s="260">
        <f>IF('complete leerlingpopulatie'!I24=0,1,0)</f>
        <v>0</v>
      </c>
    </row>
    <row r="25" spans="2:18" ht="12.6" customHeight="1" x14ac:dyDescent="0.2">
      <c r="B25" s="134"/>
      <c r="C25" s="151"/>
      <c r="D25" s="137" t="s">
        <v>96</v>
      </c>
      <c r="E25" s="138"/>
      <c r="F25" s="236">
        <v>2</v>
      </c>
      <c r="G25" s="236">
        <v>2</v>
      </c>
      <c r="H25" s="236">
        <v>2</v>
      </c>
      <c r="I25" s="236">
        <v>3</v>
      </c>
      <c r="J25" s="224"/>
      <c r="K25" s="136"/>
      <c r="O25" s="260">
        <f>IF('complete leerlingpopulatie'!F25=0,1,0)</f>
        <v>0</v>
      </c>
      <c r="P25" s="260">
        <f>IF('complete leerlingpopulatie'!G25=0,1,0)</f>
        <v>0</v>
      </c>
      <c r="Q25" s="260">
        <f>IF('complete leerlingpopulatie'!H25=0,1,0)</f>
        <v>0</v>
      </c>
      <c r="R25" s="260">
        <f>IF('complete leerlingpopulatie'!I25=0,1,0)</f>
        <v>0</v>
      </c>
    </row>
    <row r="26" spans="2:18" ht="12.6" customHeight="1" x14ac:dyDescent="0.2">
      <c r="B26" s="134"/>
      <c r="C26" s="137"/>
      <c r="D26" s="137" t="s">
        <v>97</v>
      </c>
      <c r="E26" s="138"/>
      <c r="F26" s="236">
        <v>3</v>
      </c>
      <c r="G26" s="236">
        <v>3</v>
      </c>
      <c r="H26" s="236">
        <v>4</v>
      </c>
      <c r="I26" s="236">
        <v>3</v>
      </c>
      <c r="J26" s="224"/>
      <c r="K26" s="136"/>
      <c r="O26" s="260">
        <f>IF('complete leerlingpopulatie'!F26=0,1,0)</f>
        <v>0</v>
      </c>
      <c r="P26" s="260">
        <f>IF('complete leerlingpopulatie'!G26=0,1,0)</f>
        <v>0</v>
      </c>
      <c r="Q26" s="260">
        <f>IF('complete leerlingpopulatie'!H26=0,1,0)</f>
        <v>0</v>
      </c>
      <c r="R26" s="260">
        <f>IF('complete leerlingpopulatie'!I26=0,1,0)</f>
        <v>0</v>
      </c>
    </row>
    <row r="27" spans="2:18" ht="12.6" customHeight="1" x14ac:dyDescent="0.2">
      <c r="B27" s="134"/>
      <c r="C27" s="137"/>
      <c r="D27" s="137" t="s">
        <v>98</v>
      </c>
      <c r="E27" s="138"/>
      <c r="F27" s="236">
        <v>3</v>
      </c>
      <c r="G27" s="236">
        <v>3</v>
      </c>
      <c r="H27" s="236">
        <v>3</v>
      </c>
      <c r="I27" s="236">
        <v>3</v>
      </c>
      <c r="J27" s="224"/>
      <c r="K27" s="136"/>
      <c r="O27" s="260">
        <f>IF('complete leerlingpopulatie'!F27=0,1,0)</f>
        <v>0</v>
      </c>
      <c r="P27" s="260">
        <f>IF('complete leerlingpopulatie'!G27=0,1,0)</f>
        <v>0</v>
      </c>
      <c r="Q27" s="260">
        <f>IF('complete leerlingpopulatie'!H27=0,1,0)</f>
        <v>0</v>
      </c>
      <c r="R27" s="260">
        <f>IF('complete leerlingpopulatie'!I27=0,1,0)</f>
        <v>0</v>
      </c>
    </row>
    <row r="28" spans="2:18" ht="12.6" customHeight="1" x14ac:dyDescent="0.2">
      <c r="B28" s="134"/>
      <c r="C28" s="137"/>
      <c r="D28" s="137" t="s">
        <v>99</v>
      </c>
      <c r="E28" s="138"/>
      <c r="F28" s="236">
        <v>3</v>
      </c>
      <c r="G28" s="236">
        <v>3</v>
      </c>
      <c r="H28" s="236">
        <v>4</v>
      </c>
      <c r="I28" s="236">
        <v>3</v>
      </c>
      <c r="J28" s="224"/>
      <c r="K28" s="136"/>
      <c r="O28" s="260">
        <f>IF('complete leerlingpopulatie'!F28=0,1,0)</f>
        <v>0</v>
      </c>
      <c r="P28" s="260">
        <f>IF('complete leerlingpopulatie'!G28=0,1,0)</f>
        <v>0</v>
      </c>
      <c r="Q28" s="260">
        <f>IF('complete leerlingpopulatie'!H28=0,1,0)</f>
        <v>0</v>
      </c>
      <c r="R28" s="260">
        <f>IF('complete leerlingpopulatie'!I28=0,1,0)</f>
        <v>0</v>
      </c>
    </row>
    <row r="29" spans="2:18" ht="12.6" customHeight="1" x14ac:dyDescent="0.2">
      <c r="B29" s="134"/>
      <c r="C29" s="138"/>
      <c r="D29" s="137" t="s">
        <v>100</v>
      </c>
      <c r="E29" s="138"/>
      <c r="F29" s="236">
        <v>3</v>
      </c>
      <c r="G29" s="236">
        <v>4</v>
      </c>
      <c r="H29" s="236">
        <v>3</v>
      </c>
      <c r="I29" s="236">
        <v>3</v>
      </c>
      <c r="J29" s="224"/>
      <c r="K29" s="136"/>
      <c r="O29" s="260">
        <f>IF('complete leerlingpopulatie'!F29=0,1,0)</f>
        <v>0</v>
      </c>
      <c r="P29" s="260">
        <f>IF('complete leerlingpopulatie'!G29=0,1,0)</f>
        <v>0</v>
      </c>
      <c r="Q29" s="260">
        <f>IF('complete leerlingpopulatie'!H29=0,1,0)</f>
        <v>0</v>
      </c>
      <c r="R29" s="260">
        <f>IF('complete leerlingpopulatie'!I29=0,1,0)</f>
        <v>0</v>
      </c>
    </row>
    <row r="30" spans="2:18" ht="12.6" customHeight="1" x14ac:dyDescent="0.2">
      <c r="B30" s="134"/>
      <c r="C30" s="137"/>
      <c r="D30" s="137"/>
      <c r="E30" s="138"/>
      <c r="F30" s="155">
        <f>SUM(F22:F29)</f>
        <v>14</v>
      </c>
      <c r="G30" s="155">
        <f>SUM(G22:G29)</f>
        <v>15</v>
      </c>
      <c r="H30" s="155">
        <f>SUM(H22:H29)</f>
        <v>17</v>
      </c>
      <c r="I30" s="155">
        <f>SUM(I22:I29)</f>
        <v>18</v>
      </c>
      <c r="J30" s="224"/>
      <c r="K30" s="136"/>
      <c r="O30" s="258">
        <f>SUM(O22:O29)</f>
        <v>3</v>
      </c>
      <c r="P30" s="258">
        <f>SUM(P22:P28)</f>
        <v>3</v>
      </c>
      <c r="Q30" s="258">
        <f>SUM(Q22:Q28)</f>
        <v>2</v>
      </c>
      <c r="R30" s="258">
        <f>SUM(R22:R28)</f>
        <v>1</v>
      </c>
    </row>
    <row r="31" spans="2:18" ht="12.6" customHeight="1" x14ac:dyDescent="0.2">
      <c r="B31" s="134"/>
      <c r="C31" s="137"/>
      <c r="D31" s="152" t="s">
        <v>107</v>
      </c>
      <c r="E31" s="138"/>
      <c r="F31" s="231" t="str">
        <f>IF($F$19="nee","ja",IF(O30&lt;3,"Ja","Nee"))</f>
        <v>Nee</v>
      </c>
      <c r="G31" s="231" t="str">
        <f>IF($F$19="nee","ja",IF(P30&lt;3,"Ja","Nee"))</f>
        <v>Nee</v>
      </c>
      <c r="H31" s="231" t="str">
        <f>IF($F$19="nee","ja",IF(Q30&lt;3,"Ja","Nee"))</f>
        <v>Ja</v>
      </c>
      <c r="I31" s="231" t="str">
        <f>IF($F$19="nee","ja",IF(R30&lt;3,"Ja","Nee"))</f>
        <v>Ja</v>
      </c>
      <c r="J31" s="224"/>
      <c r="K31" s="136"/>
      <c r="O31" s="260"/>
      <c r="P31" s="257"/>
      <c r="Q31" s="257"/>
      <c r="R31" s="257"/>
    </row>
    <row r="32" spans="2:18" ht="12.6" customHeight="1" x14ac:dyDescent="0.2">
      <c r="B32" s="134"/>
      <c r="C32" s="142"/>
      <c r="D32" s="142"/>
      <c r="E32" s="142"/>
      <c r="F32" s="158"/>
      <c r="G32" s="158"/>
      <c r="H32" s="158"/>
      <c r="I32" s="158"/>
      <c r="J32" s="142"/>
      <c r="K32" s="136"/>
      <c r="O32" s="260"/>
      <c r="P32" s="257"/>
      <c r="Q32" s="257"/>
      <c r="R32" s="257"/>
    </row>
    <row r="33" spans="2:18" ht="12.6" customHeight="1" x14ac:dyDescent="0.2">
      <c r="B33" s="134"/>
      <c r="C33" s="137"/>
      <c r="D33" s="137" t="s">
        <v>108</v>
      </c>
      <c r="E33" s="138"/>
      <c r="F33" s="231">
        <f>IF(F31="ja",F30,IF(G31="ja",G30,IF(H31="ja",H30,IF(I31="ja",I30,I30))))</f>
        <v>17</v>
      </c>
      <c r="G33" s="154"/>
      <c r="H33" s="154"/>
      <c r="I33" s="154"/>
      <c r="J33" s="224"/>
      <c r="K33" s="136"/>
    </row>
    <row r="34" spans="2:18" ht="12.6" customHeight="1" x14ac:dyDescent="0.2">
      <c r="B34" s="134"/>
      <c r="C34" s="137"/>
      <c r="D34" s="137" t="s">
        <v>109</v>
      </c>
      <c r="E34" s="138"/>
      <c r="F34" s="231">
        <f>F30</f>
        <v>14</v>
      </c>
      <c r="G34" s="154"/>
      <c r="H34" s="154"/>
      <c r="I34" s="154"/>
      <c r="J34" s="224"/>
      <c r="K34" s="136"/>
      <c r="O34" s="142"/>
      <c r="P34" s="142"/>
      <c r="Q34" s="142"/>
      <c r="R34" s="142"/>
    </row>
    <row r="35" spans="2:18" ht="12.6" customHeight="1" x14ac:dyDescent="0.2">
      <c r="B35" s="134"/>
      <c r="C35" s="137"/>
      <c r="D35" s="137" t="s">
        <v>110</v>
      </c>
      <c r="E35" s="138"/>
      <c r="F35" s="232">
        <f>IF('faciliteiten bij fusie'!G39&gt;=145,0,tab!$D$33+tab!$D$34*'faciliteiten bij fusie'!$G35)</f>
        <v>1028.0499</v>
      </c>
      <c r="G35" s="490">
        <f>'berekeningen bij fusie'!O35</f>
        <v>134026.96</v>
      </c>
      <c r="H35" s="494"/>
      <c r="I35" s="495"/>
      <c r="J35" s="224"/>
      <c r="K35" s="136"/>
      <c r="O35" s="142"/>
      <c r="P35" s="142"/>
      <c r="Q35" s="142"/>
      <c r="R35" s="142"/>
    </row>
    <row r="36" spans="2:18" ht="12.6" customHeight="1" x14ac:dyDescent="0.2">
      <c r="B36" s="134"/>
      <c r="C36" s="137"/>
      <c r="D36" s="137" t="s">
        <v>111</v>
      </c>
      <c r="E36" s="138"/>
      <c r="F36" s="255">
        <f>IF((F33-F34)*F35&lt;0,0,IF((F33-F34)*F35&gt;(G35+G36),G35+G36,IF((F33-F34)*F35&gt;G35,G35,(F33-F34)*F35)))</f>
        <v>3084.1496999999999</v>
      </c>
      <c r="G36" s="490">
        <f>'berekeningen bij fusie'!O42</f>
        <v>5546.16</v>
      </c>
      <c r="H36" s="491"/>
      <c r="I36" s="491"/>
      <c r="J36" s="137"/>
      <c r="K36" s="136"/>
      <c r="O36" s="142"/>
      <c r="P36" s="142"/>
      <c r="Q36" s="142"/>
      <c r="R36" s="142"/>
    </row>
    <row r="37" spans="2:18" ht="12.6" customHeight="1" x14ac:dyDescent="0.2">
      <c r="B37" s="134"/>
      <c r="C37" s="137"/>
      <c r="D37" s="233"/>
      <c r="E37" s="226"/>
      <c r="F37" s="234"/>
      <c r="G37" s="234"/>
      <c r="H37" s="234"/>
      <c r="I37" s="234"/>
      <c r="J37" s="142"/>
      <c r="K37" s="136"/>
      <c r="O37" s="142"/>
      <c r="P37" s="142"/>
      <c r="Q37" s="142"/>
      <c r="R37" s="142"/>
    </row>
    <row r="38" spans="2:18" ht="12.6" customHeight="1" x14ac:dyDescent="0.2">
      <c r="B38" s="134"/>
      <c r="C38" s="142"/>
      <c r="D38" s="142"/>
      <c r="E38" s="142"/>
      <c r="F38" s="158"/>
      <c r="G38" s="158"/>
      <c r="H38" s="158"/>
      <c r="I38" s="158"/>
      <c r="J38" s="142"/>
      <c r="K38" s="136"/>
      <c r="O38" s="142"/>
      <c r="P38" s="142"/>
      <c r="Q38" s="142"/>
      <c r="R38" s="142"/>
    </row>
    <row r="39" spans="2:18" ht="12.6" customHeight="1" x14ac:dyDescent="0.2">
      <c r="B39" s="134"/>
      <c r="C39" s="137"/>
      <c r="D39" s="253" t="str">
        <f>'faciliteiten bij fusie'!E54</f>
        <v>naam school</v>
      </c>
      <c r="E39" s="142"/>
      <c r="F39" s="158"/>
      <c r="G39" s="158"/>
      <c r="H39" s="158"/>
      <c r="I39" s="158"/>
      <c r="J39" s="142"/>
      <c r="K39" s="136"/>
    </row>
    <row r="40" spans="2:18" ht="12.6" customHeight="1" x14ac:dyDescent="0.2">
      <c r="B40" s="134"/>
      <c r="C40" s="137"/>
      <c r="D40" s="264" t="s">
        <v>188</v>
      </c>
      <c r="E40" s="137"/>
      <c r="F40" s="175" t="s">
        <v>79</v>
      </c>
      <c r="G40" s="266" t="str">
        <f>IF('faciliteiten bij fusie'!G59=0,"nvt",IF('faciliteiten bij fusie'!G59&lt;145,"(zeer) kleine basisschool, dus in principe check nodig","geen (zeer) kleine basisschool, geen check nodig"))</f>
        <v>nvt</v>
      </c>
      <c r="H40" s="152"/>
      <c r="I40" s="154"/>
      <c r="J40" s="224"/>
      <c r="K40" s="136"/>
    </row>
    <row r="41" spans="2:18" ht="12.6" customHeight="1" x14ac:dyDescent="0.2">
      <c r="B41" s="134"/>
      <c r="C41" s="137"/>
      <c r="D41" s="264"/>
      <c r="E41" s="137"/>
      <c r="F41" s="265"/>
      <c r="G41" s="265"/>
      <c r="H41" s="152"/>
      <c r="I41" s="154"/>
      <c r="J41" s="224"/>
      <c r="K41" s="136"/>
    </row>
    <row r="42" spans="2:18" ht="12.6" customHeight="1" x14ac:dyDescent="0.2">
      <c r="B42" s="134"/>
      <c r="C42" s="137"/>
      <c r="D42" s="244" t="s">
        <v>92</v>
      </c>
      <c r="E42" s="138"/>
      <c r="F42" s="493">
        <f>F21</f>
        <v>43374</v>
      </c>
      <c r="G42" s="493">
        <f t="shared" ref="G42:I42" si="0">G21</f>
        <v>43009</v>
      </c>
      <c r="H42" s="493">
        <f t="shared" si="0"/>
        <v>42644</v>
      </c>
      <c r="I42" s="493">
        <f t="shared" si="0"/>
        <v>42278</v>
      </c>
      <c r="J42" s="224"/>
      <c r="K42" s="136"/>
    </row>
    <row r="43" spans="2:18" ht="12.6" customHeight="1" x14ac:dyDescent="0.2">
      <c r="B43" s="134"/>
      <c r="C43" s="137"/>
      <c r="D43" s="137" t="s">
        <v>93</v>
      </c>
      <c r="E43" s="137"/>
      <c r="F43" s="175">
        <v>0</v>
      </c>
      <c r="G43" s="175">
        <v>0</v>
      </c>
      <c r="H43" s="175">
        <v>0</v>
      </c>
      <c r="I43" s="175">
        <v>0</v>
      </c>
      <c r="J43" s="224"/>
      <c r="K43" s="136"/>
      <c r="O43" s="260">
        <f>IF('complete leerlingpopulatie'!F43=0,1,0)</f>
        <v>1</v>
      </c>
      <c r="P43" s="260">
        <f>IF('complete leerlingpopulatie'!G43=0,1,0)</f>
        <v>1</v>
      </c>
      <c r="Q43" s="260">
        <f>IF('complete leerlingpopulatie'!H43=0,1,0)</f>
        <v>1</v>
      </c>
      <c r="R43" s="260">
        <f>IF('complete leerlingpopulatie'!I43=0,1,0)</f>
        <v>1</v>
      </c>
    </row>
    <row r="44" spans="2:18" ht="12.6" customHeight="1" x14ac:dyDescent="0.2">
      <c r="B44" s="145"/>
      <c r="C44" s="137"/>
      <c r="D44" s="137" t="s">
        <v>94</v>
      </c>
      <c r="E44" s="137"/>
      <c r="F44" s="175">
        <v>0</v>
      </c>
      <c r="G44" s="175">
        <v>0</v>
      </c>
      <c r="H44" s="175">
        <v>0</v>
      </c>
      <c r="I44" s="175">
        <v>0</v>
      </c>
      <c r="J44" s="224"/>
      <c r="K44" s="146"/>
      <c r="O44" s="260">
        <f>IF('complete leerlingpopulatie'!F44=0,1,0)</f>
        <v>1</v>
      </c>
      <c r="P44" s="260">
        <f>IF('complete leerlingpopulatie'!G44=0,1,0)</f>
        <v>1</v>
      </c>
      <c r="Q44" s="260">
        <f>IF('complete leerlingpopulatie'!H44=0,1,0)</f>
        <v>1</v>
      </c>
      <c r="R44" s="260">
        <f>IF('complete leerlingpopulatie'!I44=0,1,0)</f>
        <v>1</v>
      </c>
    </row>
    <row r="45" spans="2:18" ht="12.6" customHeight="1" x14ac:dyDescent="0.2">
      <c r="B45" s="145"/>
      <c r="C45" s="137"/>
      <c r="D45" s="137" t="s">
        <v>95</v>
      </c>
      <c r="E45" s="137"/>
      <c r="F45" s="175">
        <v>0</v>
      </c>
      <c r="G45" s="175">
        <v>0</v>
      </c>
      <c r="H45" s="175">
        <v>0</v>
      </c>
      <c r="I45" s="175">
        <v>0</v>
      </c>
      <c r="J45" s="224"/>
      <c r="K45" s="146"/>
      <c r="O45" s="260">
        <f>IF('complete leerlingpopulatie'!F45=0,1,0)</f>
        <v>1</v>
      </c>
      <c r="P45" s="260">
        <f>IF('complete leerlingpopulatie'!G45=0,1,0)</f>
        <v>1</v>
      </c>
      <c r="Q45" s="260">
        <f>IF('complete leerlingpopulatie'!H45=0,1,0)</f>
        <v>1</v>
      </c>
      <c r="R45" s="260">
        <f>IF('complete leerlingpopulatie'!I45=0,1,0)</f>
        <v>1</v>
      </c>
    </row>
    <row r="46" spans="2:18" ht="12.6" customHeight="1" x14ac:dyDescent="0.2">
      <c r="B46" s="134"/>
      <c r="C46" s="137"/>
      <c r="D46" s="137" t="s">
        <v>96</v>
      </c>
      <c r="E46" s="137"/>
      <c r="F46" s="175">
        <v>0</v>
      </c>
      <c r="G46" s="175">
        <v>0</v>
      </c>
      <c r="H46" s="175">
        <v>0</v>
      </c>
      <c r="I46" s="175">
        <v>0</v>
      </c>
      <c r="J46" s="224"/>
      <c r="K46" s="136"/>
      <c r="O46" s="260">
        <f>IF('complete leerlingpopulatie'!F46=0,1,0)</f>
        <v>1</v>
      </c>
      <c r="P46" s="260">
        <f>IF('complete leerlingpopulatie'!G46=0,1,0)</f>
        <v>1</v>
      </c>
      <c r="Q46" s="260">
        <f>IF('complete leerlingpopulatie'!H46=0,1,0)</f>
        <v>1</v>
      </c>
      <c r="R46" s="260">
        <f>IF('complete leerlingpopulatie'!I46=0,1,0)</f>
        <v>1</v>
      </c>
    </row>
    <row r="47" spans="2:18" ht="12.6" customHeight="1" x14ac:dyDescent="0.2">
      <c r="B47" s="134"/>
      <c r="C47" s="137"/>
      <c r="D47" s="137" t="s">
        <v>97</v>
      </c>
      <c r="E47" s="137"/>
      <c r="F47" s="175">
        <v>0</v>
      </c>
      <c r="G47" s="175">
        <v>0</v>
      </c>
      <c r="H47" s="175">
        <v>0</v>
      </c>
      <c r="I47" s="175">
        <v>0</v>
      </c>
      <c r="J47" s="224"/>
      <c r="K47" s="136"/>
      <c r="O47" s="260">
        <f>IF('complete leerlingpopulatie'!F47=0,1,0)</f>
        <v>1</v>
      </c>
      <c r="P47" s="260">
        <f>IF('complete leerlingpopulatie'!G47=0,1,0)</f>
        <v>1</v>
      </c>
      <c r="Q47" s="260">
        <f>IF('complete leerlingpopulatie'!H47=0,1,0)</f>
        <v>1</v>
      </c>
      <c r="R47" s="260">
        <f>IF('complete leerlingpopulatie'!I47=0,1,0)</f>
        <v>1</v>
      </c>
    </row>
    <row r="48" spans="2:18" ht="12.6" customHeight="1" x14ac:dyDescent="0.2">
      <c r="B48" s="134"/>
      <c r="C48" s="137"/>
      <c r="D48" s="137" t="s">
        <v>98</v>
      </c>
      <c r="E48" s="137"/>
      <c r="F48" s="175">
        <v>0</v>
      </c>
      <c r="G48" s="175">
        <v>0</v>
      </c>
      <c r="H48" s="175">
        <v>0</v>
      </c>
      <c r="I48" s="175">
        <v>0</v>
      </c>
      <c r="J48" s="224"/>
      <c r="K48" s="136"/>
      <c r="O48" s="260">
        <f>IF('complete leerlingpopulatie'!F48=0,1,0)</f>
        <v>1</v>
      </c>
      <c r="P48" s="260">
        <f>IF('complete leerlingpopulatie'!G48=0,1,0)</f>
        <v>1</v>
      </c>
      <c r="Q48" s="260">
        <f>IF('complete leerlingpopulatie'!H48=0,1,0)</f>
        <v>1</v>
      </c>
      <c r="R48" s="260">
        <f>IF('complete leerlingpopulatie'!I48=0,1,0)</f>
        <v>1</v>
      </c>
    </row>
    <row r="49" spans="2:19" ht="12.6" customHeight="1" x14ac:dyDescent="0.2">
      <c r="B49" s="134"/>
      <c r="C49" s="137"/>
      <c r="D49" s="137" t="s">
        <v>99</v>
      </c>
      <c r="E49" s="137"/>
      <c r="F49" s="175">
        <v>0</v>
      </c>
      <c r="G49" s="175">
        <v>0</v>
      </c>
      <c r="H49" s="175">
        <v>0</v>
      </c>
      <c r="I49" s="175">
        <v>0</v>
      </c>
      <c r="J49" s="224"/>
      <c r="K49" s="136"/>
      <c r="O49" s="260">
        <f>IF('complete leerlingpopulatie'!F49=0,1,0)</f>
        <v>1</v>
      </c>
      <c r="P49" s="260">
        <f>IF('complete leerlingpopulatie'!G49=0,1,0)</f>
        <v>1</v>
      </c>
      <c r="Q49" s="260">
        <f>IF('complete leerlingpopulatie'!H49=0,1,0)</f>
        <v>1</v>
      </c>
      <c r="R49" s="260">
        <f>IF('complete leerlingpopulatie'!I49=0,1,0)</f>
        <v>1</v>
      </c>
    </row>
    <row r="50" spans="2:19" ht="12.6" customHeight="1" x14ac:dyDescent="0.2">
      <c r="B50" s="145"/>
      <c r="C50" s="137"/>
      <c r="D50" s="137" t="s">
        <v>100</v>
      </c>
      <c r="E50" s="137"/>
      <c r="F50" s="175">
        <v>0</v>
      </c>
      <c r="G50" s="175">
        <v>0</v>
      </c>
      <c r="H50" s="175">
        <v>0</v>
      </c>
      <c r="I50" s="175">
        <v>0</v>
      </c>
      <c r="J50" s="224"/>
      <c r="K50" s="146"/>
      <c r="O50" s="260">
        <f>IF('complete leerlingpopulatie'!F50=0,1,0)</f>
        <v>1</v>
      </c>
      <c r="P50" s="260">
        <f>IF('complete leerlingpopulatie'!G50=0,1,0)</f>
        <v>1</v>
      </c>
      <c r="Q50" s="260">
        <f>IF('complete leerlingpopulatie'!H50=0,1,0)</f>
        <v>1</v>
      </c>
      <c r="R50" s="260">
        <f>IF('complete leerlingpopulatie'!I50=0,1,0)</f>
        <v>1</v>
      </c>
    </row>
    <row r="51" spans="2:19" s="269" customFormat="1" ht="12.6" customHeight="1" x14ac:dyDescent="0.2">
      <c r="B51" s="145"/>
      <c r="C51" s="138"/>
      <c r="D51" s="138"/>
      <c r="E51" s="138"/>
      <c r="F51" s="176">
        <f>SUM(F43:F50)</f>
        <v>0</v>
      </c>
      <c r="G51" s="176">
        <f>SUM(G43:G50)</f>
        <v>0</v>
      </c>
      <c r="H51" s="176">
        <f>SUM(H43:H50)</f>
        <v>0</v>
      </c>
      <c r="I51" s="176">
        <f>SUM(I43:I50)</f>
        <v>0</v>
      </c>
      <c r="J51" s="256"/>
      <c r="K51" s="146"/>
      <c r="O51" s="258">
        <f>SUM(O43:O50)</f>
        <v>8</v>
      </c>
      <c r="P51" s="258">
        <f>SUM(P43:P50)</f>
        <v>8</v>
      </c>
      <c r="Q51" s="258">
        <f>SUM(Q43:Q50)</f>
        <v>8</v>
      </c>
      <c r="R51" s="258">
        <f>SUM(R43:R50)</f>
        <v>8</v>
      </c>
      <c r="S51" s="150"/>
    </row>
    <row r="52" spans="2:19" ht="12.6" customHeight="1" x14ac:dyDescent="0.2">
      <c r="B52" s="134"/>
      <c r="C52" s="138"/>
      <c r="D52" s="152" t="s">
        <v>107</v>
      </c>
      <c r="E52" s="138"/>
      <c r="F52" s="231" t="str">
        <f>IF($F$40="nee","ja",IF(O51&lt;3,"Ja","Nee"))</f>
        <v>ja</v>
      </c>
      <c r="G52" s="231" t="str">
        <f>IF($F$40="nee","ja",IF(P51&lt;3,"Ja","Nee"))</f>
        <v>ja</v>
      </c>
      <c r="H52" s="231" t="str">
        <f>IF($F$40="nee","ja",IF(Q51&lt;3,"Ja","Nee"))</f>
        <v>ja</v>
      </c>
      <c r="I52" s="231" t="str">
        <f>IF($F$40="nee","ja",IF(R51&lt;3,"Ja","Nee"))</f>
        <v>ja</v>
      </c>
      <c r="J52" s="235"/>
      <c r="K52" s="146"/>
    </row>
    <row r="53" spans="2:19" ht="12.6" customHeight="1" x14ac:dyDescent="0.2">
      <c r="B53" s="134"/>
      <c r="C53" s="142"/>
      <c r="D53" s="142"/>
      <c r="E53" s="142"/>
      <c r="F53" s="158"/>
      <c r="G53" s="158"/>
      <c r="H53" s="158"/>
      <c r="I53" s="158"/>
      <c r="J53" s="142"/>
      <c r="K53" s="146"/>
    </row>
    <row r="54" spans="2:19" ht="12.6" customHeight="1" x14ac:dyDescent="0.2">
      <c r="B54" s="134"/>
      <c r="C54" s="138"/>
      <c r="D54" s="137" t="s">
        <v>108</v>
      </c>
      <c r="E54" s="138"/>
      <c r="F54" s="231">
        <f>IF(F52="ja",F51,IF(G52="ja",G51,IF(H52="ja",H51,IF(I52="ja",I51,I51))))</f>
        <v>0</v>
      </c>
      <c r="G54" s="154"/>
      <c r="H54" s="154"/>
      <c r="I54" s="154"/>
      <c r="J54" s="225"/>
      <c r="K54" s="136"/>
    </row>
    <row r="55" spans="2:19" ht="12.6" customHeight="1" x14ac:dyDescent="0.2">
      <c r="B55" s="134"/>
      <c r="C55" s="137"/>
      <c r="D55" s="137" t="s">
        <v>109</v>
      </c>
      <c r="E55" s="138"/>
      <c r="F55" s="231">
        <f>F51</f>
        <v>0</v>
      </c>
      <c r="G55" s="154"/>
      <c r="H55" s="154"/>
      <c r="I55" s="154"/>
      <c r="J55" s="225"/>
      <c r="K55" s="136"/>
    </row>
    <row r="56" spans="2:19" ht="12.6" customHeight="1" x14ac:dyDescent="0.2">
      <c r="B56" s="143"/>
      <c r="C56" s="137"/>
      <c r="D56" s="137" t="s">
        <v>110</v>
      </c>
      <c r="E56" s="138"/>
      <c r="F56" s="232">
        <f>IF('faciliteiten bij fusie'!G59&gt;=145,0,tab!$D$33+tab!$D$34*'faciliteiten bij fusie'!$G55)</f>
        <v>486.7</v>
      </c>
      <c r="G56" s="491">
        <f>'berekeningen bij fusie'!O51</f>
        <v>0</v>
      </c>
      <c r="H56" s="154"/>
      <c r="I56" s="496"/>
      <c r="J56" s="225"/>
      <c r="K56" s="144"/>
    </row>
    <row r="57" spans="2:19" ht="12.6" customHeight="1" x14ac:dyDescent="0.2">
      <c r="B57" s="134"/>
      <c r="C57" s="213"/>
      <c r="D57" s="213" t="s">
        <v>111</v>
      </c>
      <c r="E57" s="227"/>
      <c r="F57" s="255">
        <f>IF((F54-F55)*F56&lt;0,0,IF((F54-F55)*F56&gt;(G56+G57),G56+G57,IF((F54-F55)*F56&gt;G56,G56,(F54-F55)*F56)))</f>
        <v>0</v>
      </c>
      <c r="G57" s="491">
        <f>'berekeningen bij fusie'!O58</f>
        <v>0</v>
      </c>
      <c r="H57" s="491"/>
      <c r="I57" s="497"/>
      <c r="J57" s="142"/>
      <c r="K57" s="136"/>
    </row>
    <row r="58" spans="2:19" ht="12.6" customHeight="1" x14ac:dyDescent="0.2">
      <c r="B58" s="134"/>
      <c r="C58" s="142"/>
      <c r="D58" s="142"/>
      <c r="E58" s="142"/>
      <c r="F58" s="158"/>
      <c r="G58" s="158"/>
      <c r="H58" s="158"/>
      <c r="I58" s="158"/>
      <c r="J58" s="142"/>
      <c r="K58" s="136"/>
    </row>
    <row r="59" spans="2:19" ht="12.6" customHeight="1" x14ac:dyDescent="0.2">
      <c r="B59" s="134"/>
      <c r="C59" s="135"/>
      <c r="D59" s="135"/>
      <c r="E59" s="135"/>
      <c r="F59" s="153"/>
      <c r="G59" s="153"/>
      <c r="H59" s="153"/>
      <c r="I59" s="153"/>
      <c r="J59" s="135"/>
      <c r="K59" s="136"/>
    </row>
    <row r="60" spans="2:19" ht="12" customHeight="1" x14ac:dyDescent="0.2">
      <c r="B60" s="139"/>
      <c r="C60" s="140"/>
      <c r="D60" s="140"/>
      <c r="E60" s="140"/>
      <c r="F60" s="157"/>
      <c r="G60" s="157"/>
      <c r="H60" s="157"/>
      <c r="I60" s="157"/>
      <c r="J60" s="140"/>
      <c r="K60" s="141"/>
    </row>
  </sheetData>
  <sheetProtection algorithmName="SHA-512" hashValue="I4ln2PwoF9DtEQiq/E+Di2nONqfPOvj0jenUtL6A8ttmAnnLGeOHeLcyMRu4y6Z5C061G+eFkeDwVDmTZHi2Hw==" saltValue="Qi4/dIeWRPBMHVtjVJiaWA==" spinCount="100000" sheet="1" objects="1" scenarios="1"/>
  <dataValidations count="1">
    <dataValidation type="list" allowBlank="1" showInputMessage="1" showErrorMessage="1" sqref="F19 F40">
      <formula1>"ja,nee"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&amp;L&amp;"Arial,Vet"&amp;A&amp;C&amp;"Arial,Vet"&amp;F&amp;R&amp;"Arial,Vet"&amp;D</oddHeader>
    <oddFooter>&amp;L&amp;"Arial,Vet"PO-Raad&amp;R&amp;"Arial,Vet"&amp;D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theme="0" tint="-0.249977111117893"/>
    <pageSetUpPr fitToPage="1"/>
  </sheetPr>
  <dimension ref="B1:S140"/>
  <sheetViews>
    <sheetView zoomScale="85" zoomScaleNormal="85" zoomScaleSheetLayoutView="85" zoomScalePageLayoutView="70" workbookViewId="0">
      <selection activeCell="B2" sqref="B2"/>
    </sheetView>
  </sheetViews>
  <sheetFormatPr defaultColWidth="9.140625" defaultRowHeight="12.75" x14ac:dyDescent="0.2"/>
  <cols>
    <col min="1" max="1" width="3.7109375" style="18" customWidth="1"/>
    <col min="2" max="3" width="2.7109375" style="18" customWidth="1"/>
    <col min="4" max="4" width="3.7109375" style="460" customWidth="1"/>
    <col min="5" max="5" width="2.7109375" style="18" customWidth="1"/>
    <col min="6" max="6" width="30.85546875" style="18" customWidth="1"/>
    <col min="7" max="7" width="16.85546875" style="24" customWidth="1"/>
    <col min="8" max="8" width="5.7109375" style="18" customWidth="1"/>
    <col min="9" max="9" width="2.5703125" style="18" customWidth="1"/>
    <col min="10" max="10" width="30.85546875" style="18" customWidth="1"/>
    <col min="11" max="11" width="16.7109375" style="18" customWidth="1"/>
    <col min="12" max="12" width="5.7109375" style="18" customWidth="1"/>
    <col min="13" max="13" width="2.7109375" style="18" customWidth="1"/>
    <col min="14" max="14" width="30.85546875" style="18" customWidth="1"/>
    <col min="15" max="15" width="16.85546875" style="18" customWidth="1"/>
    <col min="16" max="16" width="2.7109375" style="18" customWidth="1"/>
    <col min="17" max="17" width="3" style="18" customWidth="1"/>
    <col min="18" max="18" width="9.140625" style="18"/>
    <col min="19" max="19" width="14.28515625" style="18" customWidth="1"/>
    <col min="20" max="20" width="9.28515625" style="18" bestFit="1" customWidth="1"/>
    <col min="21" max="21" width="9.42578125" style="18" bestFit="1" customWidth="1"/>
    <col min="22" max="22" width="12.42578125" style="18" bestFit="1" customWidth="1"/>
    <col min="23" max="23" width="11.5703125" style="18" customWidth="1"/>
    <col min="24" max="24" width="16.85546875" style="18" bestFit="1" customWidth="1"/>
    <col min="25" max="26" width="9.140625" style="18"/>
    <col min="27" max="29" width="9.42578125" style="18" bestFit="1" customWidth="1"/>
    <col min="30" max="30" width="10.7109375" style="18" customWidth="1"/>
    <col min="31" max="33" width="9.140625" style="18"/>
    <col min="34" max="35" width="9.42578125" style="18" bestFit="1" customWidth="1"/>
    <col min="36" max="36" width="10" style="18" bestFit="1" customWidth="1"/>
    <col min="37" max="37" width="11.28515625" style="18" bestFit="1" customWidth="1"/>
    <col min="38" max="42" width="9.140625" style="18"/>
    <col min="43" max="43" width="9.42578125" style="18" bestFit="1" customWidth="1"/>
    <col min="44" max="44" width="9.140625" style="18"/>
    <col min="45" max="45" width="10.42578125" style="18" bestFit="1" customWidth="1"/>
    <col min="46" max="46" width="9.140625" style="18"/>
    <col min="47" max="47" width="9.42578125" style="18" bestFit="1" customWidth="1"/>
    <col min="48" max="16384" width="9.140625" style="18"/>
  </cols>
  <sheetData>
    <row r="1" spans="2:17" x14ac:dyDescent="0.2">
      <c r="G1" s="19"/>
      <c r="J1" s="20"/>
    </row>
    <row r="2" spans="2:17" x14ac:dyDescent="0.2">
      <c r="B2" s="8"/>
      <c r="C2" s="9"/>
      <c r="D2" s="461"/>
      <c r="E2" s="9"/>
      <c r="F2" s="9"/>
      <c r="G2" s="55"/>
      <c r="H2" s="9"/>
      <c r="I2" s="9"/>
      <c r="J2" s="9"/>
      <c r="K2" s="9"/>
      <c r="L2" s="9"/>
      <c r="M2" s="9"/>
      <c r="N2" s="9"/>
      <c r="O2" s="9"/>
      <c r="P2" s="9"/>
      <c r="Q2" s="10"/>
    </row>
    <row r="3" spans="2:17" x14ac:dyDescent="0.2">
      <c r="B3" s="11"/>
      <c r="C3" s="12"/>
      <c r="D3" s="462"/>
      <c r="E3" s="12"/>
      <c r="F3" s="12"/>
      <c r="G3" s="56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2:17" s="22" customFormat="1" ht="18.75" x14ac:dyDescent="0.3">
      <c r="B4" s="57"/>
      <c r="C4" s="89" t="str">
        <f>"BEREKENINGEN SCHOOLJAAR "&amp;tab!D2</f>
        <v>BEREKENINGEN SCHOOLJAAR 2018/2019</v>
      </c>
      <c r="D4" s="463"/>
      <c r="E4" s="14"/>
      <c r="F4" s="14"/>
      <c r="G4" s="58"/>
      <c r="H4" s="14"/>
      <c r="I4" s="14"/>
      <c r="J4" s="14"/>
      <c r="K4" s="14"/>
      <c r="L4" s="14"/>
      <c r="M4" s="14"/>
      <c r="N4" s="14"/>
      <c r="O4" s="14"/>
      <c r="P4" s="14"/>
      <c r="Q4" s="59"/>
    </row>
    <row r="5" spans="2:17" ht="12.75" customHeight="1" x14ac:dyDescent="0.2">
      <c r="B5" s="11"/>
      <c r="C5" s="12"/>
      <c r="D5" s="462"/>
      <c r="E5" s="12"/>
      <c r="F5" s="12"/>
      <c r="G5" s="56"/>
      <c r="H5" s="12"/>
      <c r="I5" s="12"/>
      <c r="J5" s="12"/>
      <c r="K5" s="12"/>
      <c r="L5" s="12"/>
      <c r="M5" s="12"/>
      <c r="N5" s="12"/>
      <c r="O5" s="12"/>
      <c r="P5" s="12"/>
      <c r="Q5" s="13"/>
    </row>
    <row r="6" spans="2:17" ht="12.75" customHeight="1" x14ac:dyDescent="0.2">
      <c r="B6" s="11"/>
      <c r="C6" s="12"/>
      <c r="D6" s="462"/>
      <c r="E6" s="12"/>
      <c r="F6" s="12"/>
      <c r="G6" s="56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2:17" ht="12.75" customHeight="1" x14ac:dyDescent="0.2">
      <c r="B7" s="11"/>
      <c r="C7" s="471" t="s">
        <v>215</v>
      </c>
      <c r="D7" s="462"/>
      <c r="E7" s="12"/>
      <c r="F7" s="12"/>
      <c r="G7" s="56"/>
      <c r="H7" s="12"/>
      <c r="I7" s="12"/>
      <c r="J7" s="12"/>
      <c r="K7" s="12"/>
      <c r="L7" s="12"/>
      <c r="M7" s="12"/>
      <c r="N7" s="12"/>
      <c r="O7" s="12"/>
      <c r="P7" s="12"/>
      <c r="Q7" s="13"/>
    </row>
    <row r="8" spans="2:17" ht="12.75" customHeight="1" x14ac:dyDescent="0.2">
      <c r="B8" s="11"/>
      <c r="C8" s="12"/>
      <c r="D8" s="462"/>
      <c r="E8" s="12"/>
      <c r="F8" s="12"/>
      <c r="G8" s="56"/>
      <c r="H8" s="12"/>
      <c r="I8" s="12"/>
      <c r="J8" s="12"/>
      <c r="K8" s="12"/>
      <c r="L8" s="12"/>
      <c r="M8" s="12"/>
      <c r="N8" s="12"/>
      <c r="O8" s="12"/>
      <c r="P8" s="12"/>
      <c r="Q8" s="13"/>
    </row>
    <row r="9" spans="2:17" ht="12.75" customHeight="1" x14ac:dyDescent="0.2">
      <c r="B9" s="11"/>
      <c r="C9" s="34"/>
      <c r="D9" s="464"/>
      <c r="E9" s="35"/>
      <c r="F9" s="35"/>
      <c r="G9" s="65"/>
      <c r="H9" s="35"/>
      <c r="I9" s="35"/>
      <c r="J9" s="35"/>
      <c r="K9" s="66"/>
      <c r="L9" s="35"/>
      <c r="M9" s="35"/>
      <c r="N9" s="35"/>
      <c r="O9" s="35"/>
      <c r="P9" s="36"/>
      <c r="Q9" s="13"/>
    </row>
    <row r="10" spans="2:17" s="23" customFormat="1" ht="12.75" customHeight="1" x14ac:dyDescent="0.2">
      <c r="B10" s="15"/>
      <c r="C10" s="41"/>
      <c r="D10" s="465" t="s">
        <v>237</v>
      </c>
      <c r="E10" s="92" t="s">
        <v>218</v>
      </c>
      <c r="F10" s="92"/>
      <c r="G10" s="359" t="str">
        <f>'faciliteiten bij fusie'!E11</f>
        <v>Kievitschool</v>
      </c>
      <c r="H10" s="92"/>
      <c r="I10" s="35" t="s">
        <v>220</v>
      </c>
      <c r="J10" s="35"/>
      <c r="K10" s="66"/>
      <c r="L10" s="42"/>
      <c r="M10" s="44" t="s">
        <v>221</v>
      </c>
      <c r="N10" s="42"/>
      <c r="O10" s="66"/>
      <c r="P10" s="43"/>
      <c r="Q10" s="16"/>
    </row>
    <row r="11" spans="2:17" ht="12.75" customHeight="1" x14ac:dyDescent="0.2">
      <c r="B11" s="11"/>
      <c r="C11" s="38"/>
      <c r="D11" s="465"/>
      <c r="E11" s="44" t="s">
        <v>7</v>
      </c>
      <c r="F11" s="91"/>
      <c r="G11" s="94"/>
      <c r="H11" s="91"/>
      <c r="I11" s="35" t="s">
        <v>7</v>
      </c>
      <c r="J11" s="35"/>
      <c r="K11" s="66"/>
      <c r="L11" s="37"/>
      <c r="M11" s="37" t="s">
        <v>7</v>
      </c>
      <c r="N11" s="37"/>
      <c r="O11" s="37"/>
      <c r="P11" s="39"/>
      <c r="Q11" s="13"/>
    </row>
    <row r="12" spans="2:17" ht="12.75" customHeight="1" x14ac:dyDescent="0.2">
      <c r="B12" s="11"/>
      <c r="C12" s="38"/>
      <c r="D12" s="465"/>
      <c r="E12" s="37" t="s">
        <v>8</v>
      </c>
      <c r="F12" s="37"/>
      <c r="G12" s="46"/>
      <c r="H12" s="37"/>
      <c r="I12" s="35" t="s">
        <v>8</v>
      </c>
      <c r="J12" s="35"/>
      <c r="K12" s="66"/>
      <c r="L12" s="37"/>
      <c r="M12" s="37" t="s">
        <v>8</v>
      </c>
      <c r="N12" s="37"/>
      <c r="O12" s="37"/>
      <c r="P12" s="39"/>
      <c r="Q12" s="13"/>
    </row>
    <row r="13" spans="2:17" ht="12.75" customHeight="1" x14ac:dyDescent="0.2">
      <c r="B13" s="11"/>
      <c r="C13" s="38"/>
      <c r="D13" s="465"/>
      <c r="E13" s="37"/>
      <c r="F13" s="37" t="s">
        <v>11</v>
      </c>
      <c r="G13" s="93">
        <f>+'faciliteiten bij fusie'!G14*(tab!$D25+tab!$D26*'faciliteiten bij fusie'!$G12)</f>
        <v>202968.65</v>
      </c>
      <c r="H13" s="37"/>
      <c r="I13" s="35"/>
      <c r="J13" s="35" t="s">
        <v>11</v>
      </c>
      <c r="K13" s="297">
        <f>+'faciliteiten bij fusie'!K14*(tab!$D25+tab!$D26*'faciliteiten bij fusie'!G12)</f>
        <v>0</v>
      </c>
      <c r="L13" s="37"/>
      <c r="M13" s="37"/>
      <c r="N13" s="37" t="s">
        <v>11</v>
      </c>
      <c r="O13" s="347">
        <f>G13+K13</f>
        <v>202968.65</v>
      </c>
      <c r="P13" s="39"/>
      <c r="Q13" s="13"/>
    </row>
    <row r="14" spans="2:17" ht="12.75" customHeight="1" x14ac:dyDescent="0.2">
      <c r="B14" s="11"/>
      <c r="C14" s="38"/>
      <c r="D14" s="465"/>
      <c r="E14" s="37"/>
      <c r="F14" s="37" t="s">
        <v>12</v>
      </c>
      <c r="G14" s="93">
        <f>+'faciliteiten bij fusie'!G15*(tab!$D27+tab!$D28*'faciliteiten bij fusie'!G12)</f>
        <v>141215.83000000002</v>
      </c>
      <c r="H14" s="37"/>
      <c r="I14" s="35"/>
      <c r="J14" s="35" t="s">
        <v>12</v>
      </c>
      <c r="K14" s="297">
        <f>+'faciliteiten bij fusie'!K15*(tab!$D27+tab!$D28*'faciliteiten bij fusie'!G12)</f>
        <v>0</v>
      </c>
      <c r="L14" s="37"/>
      <c r="M14" s="37"/>
      <c r="N14" s="37" t="s">
        <v>12</v>
      </c>
      <c r="O14" s="347">
        <f>G14+K14</f>
        <v>141215.83000000002</v>
      </c>
      <c r="P14" s="39"/>
      <c r="Q14" s="13"/>
    </row>
    <row r="15" spans="2:17" ht="12.75" customHeight="1" x14ac:dyDescent="0.2">
      <c r="B15" s="11"/>
      <c r="C15" s="38"/>
      <c r="D15" s="465"/>
      <c r="E15" s="37" t="s">
        <v>9</v>
      </c>
      <c r="F15" s="37"/>
      <c r="G15" s="45"/>
      <c r="H15" s="37"/>
      <c r="I15" s="35" t="s">
        <v>9</v>
      </c>
      <c r="J15" s="35"/>
      <c r="K15" s="66"/>
      <c r="L15" s="37"/>
      <c r="M15" s="37" t="s">
        <v>9</v>
      </c>
      <c r="N15" s="37"/>
      <c r="O15" s="37"/>
      <c r="P15" s="39"/>
      <c r="Q15" s="13"/>
    </row>
    <row r="16" spans="2:17" ht="12.75" customHeight="1" x14ac:dyDescent="0.2">
      <c r="B16" s="11"/>
      <c r="C16" s="38"/>
      <c r="D16" s="465"/>
      <c r="E16" s="37"/>
      <c r="F16" s="37" t="s">
        <v>13</v>
      </c>
      <c r="G16" s="93">
        <f>IF('faciliteiten bij fusie'!G16=0,0,IF('faciliteiten bij fusie'!G16&gt;144,0,tab!$D31+tab!$D32*'faciliteiten bij fusie'!$G12-('faciliteiten bij fusie'!G16*(tab!$D33+tab!$D34*'faciliteiten bij fusie'!$G12))))</f>
        <v>45095.958800000008</v>
      </c>
      <c r="H16" s="37"/>
      <c r="I16" s="35"/>
      <c r="J16" s="35" t="s">
        <v>13</v>
      </c>
      <c r="K16" s="297">
        <f>ROUND(IF('faciliteiten bij fusie'!K16=0,0,IF('faciliteiten bij fusie'!K16&gt;144,0,tab!$D31+tab!$D32*'faciliteiten bij fusie'!G12-('faciliteiten bij fusie'!K16*(tab!$D33+tab!$D34*'faciliteiten bij fusie'!G12)))),2)</f>
        <v>0</v>
      </c>
      <c r="L16" s="37"/>
      <c r="M16" s="37"/>
      <c r="N16" s="37" t="s">
        <v>13</v>
      </c>
      <c r="O16" s="347">
        <f>IF(('faciliteiten bij fusie'!G16+'faciliteiten bij fusie'!K16)=0,0,IF(('faciliteiten bij fusie'!G16+'faciliteiten bij fusie'!K16)&gt;144,0,tab!$D31+tab!$D32*'faciliteiten bij fusie'!$G12-(('faciliteiten bij fusie'!G16+'faciliteiten bij fusie'!K16)*(tab!$D33+tab!$D34*'faciliteiten bij fusie'!$G12))))</f>
        <v>45095.958800000008</v>
      </c>
      <c r="P16" s="39"/>
      <c r="Q16" s="13"/>
    </row>
    <row r="17" spans="2:19" ht="12.75" customHeight="1" x14ac:dyDescent="0.2">
      <c r="B17" s="11"/>
      <c r="C17" s="38"/>
      <c r="D17" s="465"/>
      <c r="E17" s="37"/>
      <c r="F17" s="37" t="s">
        <v>58</v>
      </c>
      <c r="G17" s="93">
        <f>IF('faciliteiten bij fusie'!G16=0,0,IF('faciliteiten bij fusie'!G16&gt;tab!$D37,tab!$D39,tab!$D38))</f>
        <v>32785.9</v>
      </c>
      <c r="H17" s="37"/>
      <c r="I17" s="35"/>
      <c r="J17" s="35" t="s">
        <v>58</v>
      </c>
      <c r="K17" s="297">
        <f>IF('faciliteiten bij fusie'!K16=0,0,IF('faciliteiten bij fusie'!K16&gt;tab!$D37,tab!$D39,tab!$D38))</f>
        <v>0</v>
      </c>
      <c r="L17" s="37"/>
      <c r="M17" s="37"/>
      <c r="N17" s="37" t="s">
        <v>58</v>
      </c>
      <c r="O17" s="347">
        <f>IF(('faciliteiten bij fusie'!G16+'faciliteiten bij fusie'!K16)=0,0,IF(('faciliteiten bij fusie'!G16+'faciliteiten bij fusie'!K16)&gt;tab!$D37,tab!$D39,tab!$D38))</f>
        <v>32785.9</v>
      </c>
      <c r="P17" s="39"/>
      <c r="Q17" s="13"/>
    </row>
    <row r="18" spans="2:19" ht="12.75" customHeight="1" x14ac:dyDescent="0.2">
      <c r="B18" s="11"/>
      <c r="C18" s="38"/>
      <c r="D18" s="465"/>
      <c r="E18" s="44" t="s">
        <v>10</v>
      </c>
      <c r="F18" s="37"/>
      <c r="G18" s="45"/>
      <c r="H18" s="37"/>
      <c r="I18" s="35" t="s">
        <v>10</v>
      </c>
      <c r="J18" s="35"/>
      <c r="K18" s="66"/>
      <c r="L18" s="37"/>
      <c r="M18" s="37" t="s">
        <v>10</v>
      </c>
      <c r="N18" s="37"/>
      <c r="O18" s="37"/>
      <c r="P18" s="39"/>
      <c r="Q18" s="13"/>
    </row>
    <row r="19" spans="2:19" ht="12.75" customHeight="1" x14ac:dyDescent="0.2">
      <c r="B19" s="11"/>
      <c r="C19" s="38"/>
      <c r="D19" s="465"/>
      <c r="E19" s="37"/>
      <c r="F19" s="37" t="s">
        <v>14</v>
      </c>
      <c r="G19" s="93">
        <f>+'faciliteiten bij fusie'!G19*(tab!$D29+tab!$D30*'faciliteiten bij fusie'!G12)</f>
        <v>37748.761600000005</v>
      </c>
      <c r="H19" s="37"/>
      <c r="I19" s="35"/>
      <c r="J19" s="35" t="s">
        <v>14</v>
      </c>
      <c r="K19" s="297">
        <f>+'faciliteiten bij fusie'!K19*(tab!$D29+tab!$D30*'faciliteiten bij fusie'!$G12)</f>
        <v>0</v>
      </c>
      <c r="L19" s="37"/>
      <c r="M19" s="37"/>
      <c r="N19" s="37" t="s">
        <v>14</v>
      </c>
      <c r="O19" s="93">
        <f>+'faciliteiten bij fusie'!O19*(tab!$D29+tab!$D30*'faciliteiten bij fusie'!$G12)</f>
        <v>37748.761600000005</v>
      </c>
      <c r="P19" s="39"/>
      <c r="Q19" s="13"/>
    </row>
    <row r="20" spans="2:19" ht="12.75" customHeight="1" x14ac:dyDescent="0.2">
      <c r="B20" s="11"/>
      <c r="C20" s="38"/>
      <c r="D20" s="465"/>
      <c r="E20" s="37"/>
      <c r="F20" s="37" t="s">
        <v>75</v>
      </c>
      <c r="G20" s="93">
        <f>IF('faciliteiten bij fusie'!G20="ja",'faciliteiten bij fusie'!F19*tab!$D$22,0)</f>
        <v>61411</v>
      </c>
      <c r="H20" s="37"/>
      <c r="I20" s="35"/>
      <c r="J20" s="35" t="s">
        <v>75</v>
      </c>
      <c r="K20" s="297">
        <f>IF('faciliteiten bij fusie'!K20="ja",'faciliteiten bij fusie'!J19*tab!$D$22,0)</f>
        <v>0</v>
      </c>
      <c r="L20" s="37"/>
      <c r="M20" s="37"/>
      <c r="N20" s="37" t="s">
        <v>75</v>
      </c>
      <c r="O20" s="93">
        <f>IF('faciliteiten bij fusie'!O20="ja",'faciliteiten bij fusie'!N19*tab!$D$22,0)</f>
        <v>61411</v>
      </c>
      <c r="P20" s="39"/>
      <c r="Q20" s="13"/>
    </row>
    <row r="21" spans="2:19" ht="12.75" customHeight="1" x14ac:dyDescent="0.2">
      <c r="B21" s="11"/>
      <c r="C21" s="38"/>
      <c r="D21" s="465"/>
      <c r="E21" s="37"/>
      <c r="F21" s="37"/>
      <c r="G21" s="37"/>
      <c r="H21" s="37"/>
      <c r="I21" s="35"/>
      <c r="J21" s="35"/>
      <c r="K21" s="66"/>
      <c r="L21" s="37"/>
      <c r="M21" s="37"/>
      <c r="N21" s="37"/>
      <c r="O21" s="37"/>
      <c r="P21" s="39"/>
      <c r="Q21" s="13"/>
    </row>
    <row r="22" spans="2:19" ht="12.75" customHeight="1" x14ac:dyDescent="0.2">
      <c r="B22" s="11"/>
      <c r="C22" s="38"/>
      <c r="D22" s="465"/>
      <c r="E22" s="44" t="s">
        <v>59</v>
      </c>
      <c r="F22" s="37"/>
      <c r="G22" s="99">
        <f>IF('faciliteiten bij fusie'!G16=0,0,ROUND(IF(SUM(G13:G20)&lt;(tab!$D35+tab!$D36*'faciliteiten bij fusie'!G12),tab!$D35+tab!$D36*'faciliteiten bij fusie'!$G12,SUM(G13:G20)),2))</f>
        <v>521226.1</v>
      </c>
      <c r="H22" s="37"/>
      <c r="I22" s="35" t="s">
        <v>59</v>
      </c>
      <c r="J22" s="35"/>
      <c r="K22" s="99">
        <f>IF('faciliteiten bij fusie'!K16=0,0,ROUND(IF(SUM(K13:K20)&lt;(tab!$D35+tab!$D36*'faciliteiten bij fusie'!K12),tab!$D35+tab!$D36*'faciliteiten bij fusie'!$G12,SUM(K13:K20)),2))</f>
        <v>0</v>
      </c>
      <c r="L22" s="37"/>
      <c r="M22" s="37" t="s">
        <v>59</v>
      </c>
      <c r="N22" s="37"/>
      <c r="O22" s="164">
        <f>IF('faciliteiten bij fusie'!O16=0,0,ROUND(IF(SUM(O13:O20)&lt;(tab!$D35+tab!$D36*'faciliteiten bij fusie'!G12),tab!$D35+tab!$D36*'faciliteiten bij fusie'!$G12,SUM(O13:O20)),2))</f>
        <v>521226.1</v>
      </c>
      <c r="P22" s="39"/>
      <c r="Q22" s="13"/>
      <c r="S22" s="353"/>
    </row>
    <row r="23" spans="2:19" s="80" customFormat="1" ht="12.75" customHeight="1" x14ac:dyDescent="0.2">
      <c r="B23" s="75"/>
      <c r="C23" s="76"/>
      <c r="D23" s="466"/>
      <c r="E23" s="98" t="s">
        <v>20</v>
      </c>
      <c r="F23" s="98"/>
      <c r="G23" s="128">
        <f>IF('faciliteiten bij fusie'!G16=0,0,ROUND(IF(SUM(G13:G20)&lt;(tab!$D35+tab!$D36*'faciliteiten bij fusie'!$G12),(tab!$D35+tab!$D36*'faciliteiten bij fusie'!$G12)-SUM(G13:G20),0),2))</f>
        <v>0</v>
      </c>
      <c r="H23" s="98"/>
      <c r="I23" s="35" t="s">
        <v>20</v>
      </c>
      <c r="J23" s="35"/>
      <c r="K23" s="128">
        <f>IF('faciliteiten bij fusie'!K16=0,0,ROUND(IF(SUM(K13:K20)&lt;(tab!$D35+tab!$D36*'faciliteiten bij fusie'!$G12),(tab!$D35+tab!$D36*'faciliteiten bij fusie'!$G12)-SUM(K13:K20),0),2))</f>
        <v>0</v>
      </c>
      <c r="L23" s="77"/>
      <c r="M23" s="90" t="s">
        <v>20</v>
      </c>
      <c r="N23" s="77"/>
      <c r="O23" s="128">
        <f>IF('faciliteiten bij fusie'!O16=0,0,ROUND(IF(SUM(O13:O20)&lt;(tab!$D35+tab!$D36*'faciliteiten bij fusie'!$G12),(tab!$D35+tab!$D36*'faciliteiten bij fusie'!$G12)-SUM(O13:O20),0),2))</f>
        <v>0</v>
      </c>
      <c r="P23" s="78"/>
      <c r="Q23" s="79"/>
    </row>
    <row r="24" spans="2:19" ht="12.75" customHeight="1" x14ac:dyDescent="0.2">
      <c r="B24" s="11"/>
      <c r="C24" s="48"/>
      <c r="D24" s="467"/>
      <c r="E24" s="49"/>
      <c r="F24" s="49"/>
      <c r="G24" s="67"/>
      <c r="H24" s="49"/>
      <c r="I24" s="35"/>
      <c r="J24" s="35"/>
      <c r="K24" s="66"/>
      <c r="L24" s="49"/>
      <c r="M24" s="49"/>
      <c r="N24" s="49"/>
      <c r="O24" s="49"/>
      <c r="P24" s="51"/>
      <c r="Q24" s="13"/>
    </row>
    <row r="25" spans="2:19" ht="12.75" customHeight="1" x14ac:dyDescent="0.2">
      <c r="B25" s="11"/>
      <c r="C25" s="12"/>
      <c r="D25" s="462"/>
      <c r="E25" s="12"/>
      <c r="F25" s="12"/>
      <c r="G25" s="60"/>
      <c r="H25" s="12"/>
      <c r="I25" s="472"/>
      <c r="J25" s="472"/>
      <c r="K25" s="473"/>
      <c r="L25" s="12"/>
      <c r="M25" s="12"/>
      <c r="N25" s="12"/>
      <c r="O25" s="12"/>
      <c r="P25" s="12"/>
      <c r="Q25" s="13"/>
    </row>
    <row r="26" spans="2:19" ht="12.75" customHeight="1" x14ac:dyDescent="0.2">
      <c r="B26" s="11"/>
      <c r="C26" s="471" t="s">
        <v>216</v>
      </c>
      <c r="D26" s="462"/>
      <c r="E26" s="12"/>
      <c r="F26" s="12"/>
      <c r="G26" s="60"/>
      <c r="H26" s="12"/>
      <c r="I26" s="12"/>
      <c r="J26" s="12"/>
      <c r="K26" s="470"/>
      <c r="L26" s="12"/>
      <c r="M26" s="12"/>
      <c r="N26" s="12"/>
      <c r="O26" s="12"/>
      <c r="P26" s="12"/>
      <c r="Q26" s="13"/>
    </row>
    <row r="27" spans="2:19" ht="12.75" customHeight="1" x14ac:dyDescent="0.2">
      <c r="B27" s="11"/>
      <c r="C27" s="12"/>
      <c r="D27" s="462"/>
      <c r="E27" s="12"/>
      <c r="F27" s="12"/>
      <c r="G27" s="60"/>
      <c r="H27" s="12"/>
      <c r="I27" s="12"/>
      <c r="J27" s="12"/>
      <c r="K27" s="470"/>
      <c r="L27" s="12"/>
      <c r="M27" s="12"/>
      <c r="N27" s="12"/>
      <c r="O27" s="12"/>
      <c r="P27" s="12"/>
      <c r="Q27" s="13"/>
    </row>
    <row r="28" spans="2:19" ht="12.75" customHeight="1" x14ac:dyDescent="0.2">
      <c r="B28" s="11"/>
      <c r="C28" s="21"/>
      <c r="D28" s="468"/>
      <c r="E28" s="21"/>
      <c r="F28" s="21"/>
      <c r="G28" s="295"/>
      <c r="H28" s="21"/>
      <c r="I28" s="21"/>
      <c r="J28" s="21"/>
      <c r="K28" s="291"/>
      <c r="L28" s="21"/>
      <c r="M28" s="21"/>
      <c r="N28" s="21"/>
      <c r="O28" s="21"/>
      <c r="P28" s="21"/>
      <c r="Q28" s="13"/>
    </row>
    <row r="29" spans="2:19" ht="12.75" customHeight="1" x14ac:dyDescent="0.2">
      <c r="B29" s="11"/>
      <c r="C29" s="21"/>
      <c r="D29" s="468" t="s">
        <v>238</v>
      </c>
      <c r="E29" s="92" t="s">
        <v>218</v>
      </c>
      <c r="F29" s="92"/>
      <c r="G29" s="358" t="str">
        <f>'faciliteiten bij fusie'!E34</f>
        <v>Gruttoschool</v>
      </c>
      <c r="H29" s="96"/>
      <c r="I29" s="21" t="s">
        <v>220</v>
      </c>
      <c r="J29" s="21"/>
      <c r="K29" s="66"/>
      <c r="L29" s="26"/>
      <c r="M29" s="25" t="s">
        <v>221</v>
      </c>
      <c r="N29" s="25"/>
      <c r="O29" s="66"/>
      <c r="P29" s="21"/>
      <c r="Q29" s="13"/>
    </row>
    <row r="30" spans="2:19" ht="12.75" customHeight="1" x14ac:dyDescent="0.2">
      <c r="B30" s="11"/>
      <c r="C30" s="21"/>
      <c r="D30" s="468"/>
      <c r="E30" s="92" t="s">
        <v>7</v>
      </c>
      <c r="F30" s="91"/>
      <c r="G30" s="97"/>
      <c r="H30" s="95"/>
      <c r="I30" s="21" t="s">
        <v>7</v>
      </c>
      <c r="J30" s="21"/>
      <c r="K30" s="291"/>
      <c r="L30" s="21"/>
      <c r="M30" s="21" t="s">
        <v>7</v>
      </c>
      <c r="N30" s="21"/>
      <c r="O30" s="21"/>
      <c r="P30" s="21"/>
      <c r="Q30" s="13"/>
    </row>
    <row r="31" spans="2:19" ht="12.75" customHeight="1" x14ac:dyDescent="0.2">
      <c r="B31" s="11"/>
      <c r="C31" s="21"/>
      <c r="D31" s="468"/>
      <c r="E31" s="37" t="s">
        <v>8</v>
      </c>
      <c r="F31" s="37"/>
      <c r="G31" s="40"/>
      <c r="H31" s="291"/>
      <c r="I31" s="21" t="s">
        <v>8</v>
      </c>
      <c r="J31" s="21"/>
      <c r="K31" s="291"/>
      <c r="L31" s="21"/>
      <c r="M31" s="21" t="s">
        <v>8</v>
      </c>
      <c r="N31" s="21"/>
      <c r="O31" s="21"/>
      <c r="P31" s="21"/>
      <c r="Q31" s="13"/>
    </row>
    <row r="32" spans="2:19" ht="12.75" customHeight="1" x14ac:dyDescent="0.2">
      <c r="B32" s="11"/>
      <c r="C32" s="21"/>
      <c r="D32" s="468"/>
      <c r="E32" s="37"/>
      <c r="F32" s="37" t="s">
        <v>11</v>
      </c>
      <c r="G32" s="93">
        <f>+'faciliteiten bij fusie'!G37*(tab!$D25+tab!$D26*'faciliteiten bij fusie'!$G35)</f>
        <v>20530.267500000002</v>
      </c>
      <c r="H32" s="291"/>
      <c r="I32" s="21"/>
      <c r="J32" s="21" t="s">
        <v>11</v>
      </c>
      <c r="K32" s="93">
        <f>+'faciliteiten bij fusie'!K37*(tab!$D25+tab!$D26*'faciliteiten bij fusie'!$G35)</f>
        <v>0</v>
      </c>
      <c r="L32" s="21"/>
      <c r="M32" s="21"/>
      <c r="N32" s="21" t="s">
        <v>11</v>
      </c>
      <c r="O32" s="347">
        <f t="shared" ref="O32:O33" si="0">G32+K32</f>
        <v>20530.267500000002</v>
      </c>
      <c r="P32" s="21"/>
      <c r="Q32" s="13"/>
    </row>
    <row r="33" spans="2:17" ht="12.75" customHeight="1" x14ac:dyDescent="0.2">
      <c r="B33" s="11"/>
      <c r="C33" s="21"/>
      <c r="D33" s="468"/>
      <c r="E33" s="37"/>
      <c r="F33" s="37" t="s">
        <v>12</v>
      </c>
      <c r="G33" s="93">
        <f>+'faciliteiten bij fusie'!G38*(tab!$D27+tab!$D28*'faciliteiten bij fusie'!$G35)</f>
        <v>25711.134299999998</v>
      </c>
      <c r="H33" s="291"/>
      <c r="I33" s="21"/>
      <c r="J33" s="21" t="s">
        <v>12</v>
      </c>
      <c r="K33" s="93">
        <f>+'faciliteiten bij fusie'!K38*(tab!$D26+tab!$D27*'faciliteiten bij fusie'!$G36)</f>
        <v>0</v>
      </c>
      <c r="L33" s="21"/>
      <c r="M33" s="21"/>
      <c r="N33" s="21" t="s">
        <v>12</v>
      </c>
      <c r="O33" s="347">
        <f t="shared" si="0"/>
        <v>25711.134299999998</v>
      </c>
      <c r="P33" s="21"/>
      <c r="Q33" s="13"/>
    </row>
    <row r="34" spans="2:17" ht="12.75" customHeight="1" x14ac:dyDescent="0.2">
      <c r="B34" s="11"/>
      <c r="C34" s="21"/>
      <c r="D34" s="468"/>
      <c r="E34" s="37" t="s">
        <v>9</v>
      </c>
      <c r="F34" s="37"/>
      <c r="G34" s="45"/>
      <c r="H34" s="292"/>
      <c r="I34" s="21" t="s">
        <v>9</v>
      </c>
      <c r="J34" s="21"/>
      <c r="K34" s="291"/>
      <c r="L34" s="21"/>
      <c r="M34" s="21" t="s">
        <v>9</v>
      </c>
      <c r="N34" s="21"/>
      <c r="O34" s="21"/>
      <c r="P34" s="21"/>
      <c r="Q34" s="13"/>
    </row>
    <row r="35" spans="2:17" ht="12.75" customHeight="1" x14ac:dyDescent="0.2">
      <c r="B35" s="11"/>
      <c r="C35" s="21"/>
      <c r="D35" s="468"/>
      <c r="E35" s="37"/>
      <c r="F35" s="37" t="s">
        <v>13</v>
      </c>
      <c r="G35" s="93">
        <f>IF('faciliteiten bij fusie'!G39=0,0,IF('faciliteiten bij fusie'!G39&gt;144,0,tab!$D31+tab!$D32*'faciliteiten bij fusie'!$G35-('faciliteiten bij fusie'!G39*(tab!$D33+tab!$D34*'faciliteiten bij fusie'!$G35))))</f>
        <v>134026.96</v>
      </c>
      <c r="H35" s="291"/>
      <c r="I35" s="21"/>
      <c r="J35" s="21" t="s">
        <v>13</v>
      </c>
      <c r="K35" s="93">
        <f>IF('faciliteiten bij fusie'!K39=0,0,IF('faciliteiten bij fusie'!K39&gt;144,0,tab!$D31+tab!$D32*'faciliteiten bij fusie'!$G35-('faciliteiten bij fusie'!K39*(tab!$D33+tab!$D34*'faciliteiten bij fusie'!$G35))))</f>
        <v>0</v>
      </c>
      <c r="L35" s="21"/>
      <c r="M35" s="21"/>
      <c r="N35" s="21" t="s">
        <v>13</v>
      </c>
      <c r="O35" s="93">
        <f>IF('faciliteiten bij fusie'!O39=0,0,IF('faciliteiten bij fusie'!O39&gt;144,0,tab!$D31+tab!$D32*'faciliteiten bij fusie'!$G35-('faciliteiten bij fusie'!O39*(tab!$D33+tab!$D34*'faciliteiten bij fusie'!$G35))))</f>
        <v>134026.96</v>
      </c>
      <c r="P35" s="21"/>
      <c r="Q35" s="13"/>
    </row>
    <row r="36" spans="2:17" ht="12.75" customHeight="1" x14ac:dyDescent="0.2">
      <c r="B36" s="11"/>
      <c r="C36" s="21"/>
      <c r="D36" s="468"/>
      <c r="E36" s="37"/>
      <c r="F36" s="37" t="s">
        <v>58</v>
      </c>
      <c r="G36" s="93">
        <f>IF('faciliteiten bij fusie'!G39=0,0,IF('faciliteiten bij fusie'!G39&gt;tab!$D37,tab!$D39,tab!$D38))</f>
        <v>17809.95</v>
      </c>
      <c r="H36" s="291"/>
      <c r="I36" s="21"/>
      <c r="J36" s="21" t="s">
        <v>58</v>
      </c>
      <c r="K36" s="93">
        <f>IF('faciliteiten bij fusie'!K39=0,0,IF('faciliteiten bij fusie'!K39&gt;tab!$D37,tab!$D39,tab!$D38))</f>
        <v>0</v>
      </c>
      <c r="L36" s="21"/>
      <c r="M36" s="21"/>
      <c r="N36" s="21" t="s">
        <v>58</v>
      </c>
      <c r="O36" s="93">
        <f>IF('faciliteiten bij fusie'!O39=0,0,IF('faciliteiten bij fusie'!O39&gt;tab!$D37,tab!$D39,tab!$D38))</f>
        <v>17809.95</v>
      </c>
      <c r="P36" s="21"/>
      <c r="Q36" s="13"/>
    </row>
    <row r="37" spans="2:17" ht="12.75" customHeight="1" x14ac:dyDescent="0.2">
      <c r="B37" s="11"/>
      <c r="C37" s="21"/>
      <c r="D37" s="468"/>
      <c r="E37" s="44" t="s">
        <v>10</v>
      </c>
      <c r="F37" s="37"/>
      <c r="G37" s="45"/>
      <c r="H37" s="292"/>
      <c r="I37" s="21" t="s">
        <v>10</v>
      </c>
      <c r="J37" s="21"/>
      <c r="K37" s="291"/>
      <c r="L37" s="21"/>
      <c r="M37" s="21" t="s">
        <v>10</v>
      </c>
      <c r="N37" s="21"/>
      <c r="O37" s="21"/>
      <c r="P37" s="21"/>
      <c r="Q37" s="13"/>
    </row>
    <row r="38" spans="2:17" ht="12.75" customHeight="1" x14ac:dyDescent="0.2">
      <c r="B38" s="11"/>
      <c r="C38" s="21"/>
      <c r="D38" s="468"/>
      <c r="E38" s="37"/>
      <c r="F38" s="37" t="s">
        <v>14</v>
      </c>
      <c r="G38" s="93">
        <f>+'faciliteiten bij fusie'!G42*(tab!$D29+tab!$D30*'faciliteiten bij fusie'!$G35)</f>
        <v>0</v>
      </c>
      <c r="H38" s="291"/>
      <c r="I38" s="21"/>
      <c r="J38" s="21" t="s">
        <v>14</v>
      </c>
      <c r="K38" s="93">
        <f>+'faciliteiten bij fusie'!K42*(tab!$D29+tab!$D30*'faciliteiten bij fusie'!$G35)</f>
        <v>0</v>
      </c>
      <c r="L38" s="21"/>
      <c r="M38" s="21"/>
      <c r="N38" s="21" t="s">
        <v>14</v>
      </c>
      <c r="O38" s="93">
        <f>+'faciliteiten bij fusie'!O42*(tab!$D29+tab!$D30*'faciliteiten bij fusie'!$G35)</f>
        <v>0</v>
      </c>
      <c r="P38" s="21"/>
      <c r="Q38" s="13"/>
    </row>
    <row r="39" spans="2:17" ht="12.75" customHeight="1" x14ac:dyDescent="0.2">
      <c r="B39" s="11"/>
      <c r="C39" s="21"/>
      <c r="D39" s="468"/>
      <c r="E39" s="37"/>
      <c r="F39" s="37" t="s">
        <v>75</v>
      </c>
      <c r="G39" s="93">
        <f>IF('faciliteiten bij fusie'!G43="ja",'faciliteiten bij fusie'!F42*tab!$D$22,0)</f>
        <v>0</v>
      </c>
      <c r="H39" s="291"/>
      <c r="I39" s="21"/>
      <c r="J39" s="21" t="s">
        <v>75</v>
      </c>
      <c r="K39" s="93">
        <f>IF('faciliteiten bij fusie'!K43="ja",'faciliteiten bij fusie'!J42*tab!$D$22,0)</f>
        <v>0</v>
      </c>
      <c r="L39" s="21"/>
      <c r="M39" s="21"/>
      <c r="N39" s="21" t="s">
        <v>75</v>
      </c>
      <c r="O39" s="93">
        <f>IF('faciliteiten bij fusie'!O43="ja",'faciliteiten bij fusie'!N42*tab!$D$22,0)</f>
        <v>0</v>
      </c>
      <c r="P39" s="21"/>
      <c r="Q39" s="13"/>
    </row>
    <row r="40" spans="2:17" ht="12.75" customHeight="1" x14ac:dyDescent="0.2">
      <c r="B40" s="11"/>
      <c r="C40" s="21"/>
      <c r="D40" s="468"/>
      <c r="E40" s="37"/>
      <c r="F40" s="37"/>
      <c r="G40" s="37"/>
      <c r="H40" s="21"/>
      <c r="I40" s="21"/>
      <c r="J40" s="21"/>
      <c r="K40" s="291"/>
      <c r="L40" s="21"/>
      <c r="M40" s="21"/>
      <c r="N40" s="21"/>
      <c r="O40" s="21"/>
      <c r="P40" s="21"/>
      <c r="Q40" s="13"/>
    </row>
    <row r="41" spans="2:17" ht="12.75" customHeight="1" x14ac:dyDescent="0.2">
      <c r="B41" s="11"/>
      <c r="C41" s="21"/>
      <c r="D41" s="468"/>
      <c r="E41" s="44" t="s">
        <v>59</v>
      </c>
      <c r="F41" s="37"/>
      <c r="G41" s="99">
        <f>IF('faciliteiten bij fusie'!G39=0,0,ROUND(IF(SUM(G32:G39)&lt;(tab!$D35+tab!$D36*'faciliteiten bij fusie'!$G35),tab!$D35+tab!$D36*'faciliteiten bij fusie'!$G35,SUM(G32:G39)),2))</f>
        <v>203624.47</v>
      </c>
      <c r="H41" s="293"/>
      <c r="I41" s="21" t="s">
        <v>59</v>
      </c>
      <c r="J41" s="21"/>
      <c r="K41" s="99">
        <f>IF('faciliteiten bij fusie'!K39=0,0,ROUND(IF(SUM(K32:K39)&lt;(tab!$D35+tab!$D36*'faciliteiten bij fusie'!$G35),tab!$D35+tab!$D36*'faciliteiten bij fusie'!$G35,SUM(K32:K39)),2))</f>
        <v>0</v>
      </c>
      <c r="L41" s="21"/>
      <c r="M41" s="21" t="s">
        <v>59</v>
      </c>
      <c r="N41" s="21"/>
      <c r="O41" s="99">
        <f>IF('faciliteiten bij fusie'!O39=0,0,ROUND(IF(SUM(O32:O39)&lt;(tab!$D35+tab!$D36*'faciliteiten bij fusie'!$G35),tab!$D35+tab!$D36*'faciliteiten bij fusie'!$G35,SUM(O32:O39)),2))</f>
        <v>203624.47</v>
      </c>
      <c r="P41" s="21"/>
      <c r="Q41" s="13"/>
    </row>
    <row r="42" spans="2:17" ht="12.75" customHeight="1" x14ac:dyDescent="0.2">
      <c r="B42" s="11"/>
      <c r="C42" s="21"/>
      <c r="D42" s="468"/>
      <c r="E42" s="98" t="s">
        <v>20</v>
      </c>
      <c r="F42" s="98"/>
      <c r="G42" s="128">
        <f>IF('faciliteiten bij fusie'!G39=0,0,ROUND(IF(SUM(G32:G39)&lt;(tab!$D35+tab!$D36*'faciliteiten bij fusie'!$G35),(tab!$D35+tab!$D36*'faciliteiten bij fusie'!$G35)-SUM(G32:G39),0),2))</f>
        <v>5546.16</v>
      </c>
      <c r="H42" s="294"/>
      <c r="I42" s="21" t="s">
        <v>20</v>
      </c>
      <c r="J42" s="21"/>
      <c r="K42" s="128">
        <f>IF('faciliteiten bij fusie'!K39=0,0,ROUND(IF(SUM(K32:K39)&lt;(tab!$D35+tab!$D36*'faciliteiten bij fusie'!$G35),(tab!$D35+tab!$D36*'faciliteiten bij fusie'!$G35)-SUM(K32:K39),0),2))</f>
        <v>0</v>
      </c>
      <c r="L42" s="296"/>
      <c r="M42" s="120" t="s">
        <v>20</v>
      </c>
      <c r="N42" s="296"/>
      <c r="O42" s="128">
        <f>IF('faciliteiten bij fusie'!O39=0,0,ROUND(IF(SUM(O32:O39)&lt;(tab!$D35+tab!$D36*'faciliteiten bij fusie'!$G35),(tab!$D35+tab!$D36*'faciliteiten bij fusie'!$G35)-SUM(O32:O39),0),2))</f>
        <v>5546.16</v>
      </c>
      <c r="P42" s="21"/>
      <c r="Q42" s="13"/>
    </row>
    <row r="43" spans="2:17" ht="12.75" customHeight="1" x14ac:dyDescent="0.2">
      <c r="B43" s="11"/>
      <c r="C43" s="21"/>
      <c r="D43" s="468"/>
      <c r="E43" s="456"/>
      <c r="F43" s="456"/>
      <c r="G43" s="457"/>
      <c r="H43" s="458"/>
      <c r="I43" s="458"/>
      <c r="J43" s="458"/>
      <c r="K43" s="458"/>
      <c r="L43" s="459"/>
      <c r="M43" s="459"/>
      <c r="N43" s="459"/>
      <c r="O43" s="459"/>
      <c r="P43" s="21"/>
      <c r="Q43" s="13"/>
    </row>
    <row r="44" spans="2:17" ht="12.75" customHeight="1" x14ac:dyDescent="0.2">
      <c r="B44" s="11"/>
      <c r="C44" s="34"/>
      <c r="D44" s="464"/>
      <c r="E44" s="35"/>
      <c r="F44" s="35"/>
      <c r="G44" s="66"/>
      <c r="H44" s="35"/>
      <c r="I44" s="35"/>
      <c r="J44" s="35"/>
      <c r="K44" s="66"/>
      <c r="L44" s="35"/>
      <c r="M44" s="35"/>
      <c r="N44" s="35"/>
      <c r="O44" s="66"/>
      <c r="P44" s="36"/>
      <c r="Q44" s="13"/>
    </row>
    <row r="45" spans="2:17" s="74" customFormat="1" ht="12.75" customHeight="1" x14ac:dyDescent="0.2">
      <c r="B45" s="70"/>
      <c r="C45" s="71"/>
      <c r="D45" s="465" t="s">
        <v>239</v>
      </c>
      <c r="E45" s="92" t="s">
        <v>218</v>
      </c>
      <c r="F45" s="92"/>
      <c r="G45" s="358" t="str">
        <f>'faciliteiten bij fusie'!E54</f>
        <v>naam school</v>
      </c>
      <c r="H45" s="92"/>
      <c r="I45" s="92" t="s">
        <v>220</v>
      </c>
      <c r="J45" s="92"/>
      <c r="K45" s="66"/>
      <c r="L45" s="92"/>
      <c r="M45" s="92" t="s">
        <v>221</v>
      </c>
      <c r="N45" s="92"/>
      <c r="O45" s="66"/>
      <c r="P45" s="72"/>
      <c r="Q45" s="73"/>
    </row>
    <row r="46" spans="2:17" ht="12.75" customHeight="1" x14ac:dyDescent="0.2">
      <c r="B46" s="11"/>
      <c r="C46" s="38"/>
      <c r="D46" s="465"/>
      <c r="E46" s="44" t="s">
        <v>7</v>
      </c>
      <c r="F46" s="37"/>
      <c r="G46" s="40"/>
      <c r="H46" s="37"/>
      <c r="I46" s="44" t="s">
        <v>7</v>
      </c>
      <c r="J46" s="37"/>
      <c r="K46" s="40"/>
      <c r="L46" s="37"/>
      <c r="M46" s="44" t="s">
        <v>7</v>
      </c>
      <c r="N46" s="37"/>
      <c r="O46" s="40"/>
      <c r="P46" s="39"/>
      <c r="Q46" s="13"/>
    </row>
    <row r="47" spans="2:17" ht="12.75" customHeight="1" x14ac:dyDescent="0.2">
      <c r="B47" s="11"/>
      <c r="C47" s="38"/>
      <c r="D47" s="465"/>
      <c r="E47" s="37" t="s">
        <v>8</v>
      </c>
      <c r="F47" s="37"/>
      <c r="G47" s="40"/>
      <c r="H47" s="37"/>
      <c r="I47" s="37" t="s">
        <v>8</v>
      </c>
      <c r="J47" s="37"/>
      <c r="K47" s="40"/>
      <c r="L47" s="37"/>
      <c r="M47" s="37" t="s">
        <v>8</v>
      </c>
      <c r="N47" s="37"/>
      <c r="O47" s="40"/>
      <c r="P47" s="39"/>
      <c r="Q47" s="13"/>
    </row>
    <row r="48" spans="2:17" ht="12.75" customHeight="1" x14ac:dyDescent="0.2">
      <c r="B48" s="11"/>
      <c r="C48" s="38"/>
      <c r="D48" s="465"/>
      <c r="E48" s="37"/>
      <c r="F48" s="37" t="s">
        <v>11</v>
      </c>
      <c r="G48" s="93">
        <f>+'faciliteiten bij fusie'!G57*(tab!$D25+tab!$D26*'faciliteiten bij fusie'!$G55)</f>
        <v>0</v>
      </c>
      <c r="H48" s="37"/>
      <c r="I48" s="37"/>
      <c r="J48" s="37" t="s">
        <v>11</v>
      </c>
      <c r="K48" s="93">
        <f>+'faciliteiten bij fusie'!K57*(tab!$D25+tab!$D26*'faciliteiten bij fusie'!G55)</f>
        <v>0</v>
      </c>
      <c r="L48" s="37"/>
      <c r="M48" s="37"/>
      <c r="N48" s="37" t="s">
        <v>11</v>
      </c>
      <c r="O48" s="93">
        <f>G48+K48</f>
        <v>0</v>
      </c>
      <c r="P48" s="39"/>
      <c r="Q48" s="13"/>
    </row>
    <row r="49" spans="2:17" ht="12.75" customHeight="1" x14ac:dyDescent="0.2">
      <c r="B49" s="11"/>
      <c r="C49" s="38"/>
      <c r="D49" s="465"/>
      <c r="E49" s="37"/>
      <c r="F49" s="37" t="s">
        <v>12</v>
      </c>
      <c r="G49" s="93">
        <f>+'faciliteiten bij fusie'!G58*(tab!$D27+tab!$D28*'faciliteiten bij fusie'!$G55)</f>
        <v>0</v>
      </c>
      <c r="H49" s="37"/>
      <c r="I49" s="37"/>
      <c r="J49" s="37" t="s">
        <v>12</v>
      </c>
      <c r="K49" s="93">
        <f>+'faciliteiten bij fusie'!K58*(tab!$D27+tab!$D28*'faciliteiten bij fusie'!G55)</f>
        <v>0</v>
      </c>
      <c r="L49" s="37"/>
      <c r="M49" s="37"/>
      <c r="N49" s="37" t="s">
        <v>12</v>
      </c>
      <c r="O49" s="93">
        <f>G49+K49</f>
        <v>0</v>
      </c>
      <c r="P49" s="39"/>
      <c r="Q49" s="13"/>
    </row>
    <row r="50" spans="2:17" ht="12.75" customHeight="1" x14ac:dyDescent="0.2">
      <c r="B50" s="11"/>
      <c r="C50" s="38"/>
      <c r="D50" s="465"/>
      <c r="E50" s="37" t="s">
        <v>9</v>
      </c>
      <c r="F50" s="37"/>
      <c r="G50" s="45"/>
      <c r="H50" s="37"/>
      <c r="I50" s="37" t="s">
        <v>9</v>
      </c>
      <c r="J50" s="37"/>
      <c r="K50" s="45"/>
      <c r="L50" s="37"/>
      <c r="M50" s="37" t="s">
        <v>9</v>
      </c>
      <c r="N50" s="37"/>
      <c r="O50" s="45"/>
      <c r="P50" s="39"/>
      <c r="Q50" s="13"/>
    </row>
    <row r="51" spans="2:17" ht="12.75" customHeight="1" x14ac:dyDescent="0.2">
      <c r="B51" s="11"/>
      <c r="C51" s="38"/>
      <c r="D51" s="465"/>
      <c r="E51" s="37"/>
      <c r="F51" s="37" t="s">
        <v>13</v>
      </c>
      <c r="G51" s="93">
        <f>IF('faciliteiten bij fusie'!G59=0,0,IF('faciliteiten bij fusie'!G59&gt;144,0,tab!$D31+tab!$D32*'faciliteiten bij fusie'!$G55-('faciliteiten bij fusie'!G59*(tab!$D33+tab!$D34*'faciliteiten bij fusie'!$G55))))</f>
        <v>0</v>
      </c>
      <c r="H51" s="37"/>
      <c r="I51" s="37"/>
      <c r="J51" s="37" t="s">
        <v>13</v>
      </c>
      <c r="K51" s="93">
        <f>IF('faciliteiten bij fusie'!K59=0,0,IF('faciliteiten bij fusie'!K59&gt;144,0,tab!$D31+tab!$D32*'faciliteiten bij fusie'!G55-('faciliteiten bij fusie'!K59*(tab!$D33+tab!$D34*'faciliteiten bij fusie'!G55))))</f>
        <v>0</v>
      </c>
      <c r="L51" s="37"/>
      <c r="M51" s="37"/>
      <c r="N51" s="37" t="s">
        <v>13</v>
      </c>
      <c r="O51" s="93">
        <f>IF('faciliteiten bij fusie'!O59=0,0,IF('faciliteiten bij fusie'!O59&gt;144,0,tab!$D31+tab!$D32*'faciliteiten bij fusie'!$G55-('faciliteiten bij fusie'!O59*(tab!$D33+tab!$D34*'faciliteiten bij fusie'!$G55))))</f>
        <v>0</v>
      </c>
      <c r="P51" s="39"/>
      <c r="Q51" s="13"/>
    </row>
    <row r="52" spans="2:17" ht="12.75" customHeight="1" x14ac:dyDescent="0.2">
      <c r="B52" s="11"/>
      <c r="C52" s="38"/>
      <c r="D52" s="465"/>
      <c r="E52" s="37"/>
      <c r="F52" s="37" t="s">
        <v>58</v>
      </c>
      <c r="G52" s="93">
        <f>IF('faciliteiten bij fusie'!G59=0,0,IF('faciliteiten bij fusie'!G59&gt;tab!$D37,tab!$D39,tab!D38))</f>
        <v>0</v>
      </c>
      <c r="H52" s="37"/>
      <c r="I52" s="37"/>
      <c r="J52" s="37" t="s">
        <v>58</v>
      </c>
      <c r="K52" s="93">
        <f>IF('faciliteiten bij fusie'!K59=0,0,IF('faciliteiten bij fusie'!K59&gt;tab!$D37,tab!$D39,tab!D38))</f>
        <v>0</v>
      </c>
      <c r="L52" s="37"/>
      <c r="M52" s="37"/>
      <c r="N52" s="37" t="s">
        <v>58</v>
      </c>
      <c r="O52" s="93">
        <f>IF(('faciliteiten bij fusie'!G59+'faciliteiten bij fusie'!K59)=0,0,IF(('faciliteiten bij fusie'!G59+'faciliteiten bij fusie'!K59)&gt;tab!$D37,tab!$D39,tab!D38))</f>
        <v>0</v>
      </c>
      <c r="P52" s="39"/>
      <c r="Q52" s="13"/>
    </row>
    <row r="53" spans="2:17" ht="12.75" customHeight="1" x14ac:dyDescent="0.2">
      <c r="B53" s="11"/>
      <c r="C53" s="38"/>
      <c r="D53" s="465"/>
      <c r="E53" s="44" t="s">
        <v>10</v>
      </c>
      <c r="F53" s="37"/>
      <c r="G53" s="45"/>
      <c r="H53" s="37"/>
      <c r="I53" s="44" t="s">
        <v>10</v>
      </c>
      <c r="J53" s="37"/>
      <c r="K53" s="45"/>
      <c r="L53" s="37"/>
      <c r="M53" s="44" t="s">
        <v>10</v>
      </c>
      <c r="N53" s="37"/>
      <c r="O53" s="45"/>
      <c r="P53" s="39"/>
      <c r="Q53" s="13"/>
    </row>
    <row r="54" spans="2:17" ht="12.75" customHeight="1" x14ac:dyDescent="0.2">
      <c r="B54" s="11"/>
      <c r="C54" s="38"/>
      <c r="D54" s="465"/>
      <c r="E54" s="37"/>
      <c r="F54" s="37" t="s">
        <v>14</v>
      </c>
      <c r="G54" s="93">
        <f>+'faciliteiten bij fusie'!G62*(tab!$D29+tab!$D30*'faciliteiten bij fusie'!G55)</f>
        <v>0</v>
      </c>
      <c r="H54" s="37"/>
      <c r="I54" s="37"/>
      <c r="J54" s="37" t="s">
        <v>14</v>
      </c>
      <c r="K54" s="93">
        <f>+'faciliteiten bij fusie'!K62*(tab!$D29+tab!$D30*'faciliteiten bij fusie'!G55)</f>
        <v>0</v>
      </c>
      <c r="L54" s="37"/>
      <c r="M54" s="37"/>
      <c r="N54" s="37" t="s">
        <v>14</v>
      </c>
      <c r="O54" s="93">
        <f>+'faciliteiten bij fusie'!O62*(tab!$D29+tab!$D30*'faciliteiten bij fusie'!G55)</f>
        <v>0</v>
      </c>
      <c r="P54" s="39"/>
      <c r="Q54" s="13"/>
    </row>
    <row r="55" spans="2:17" ht="12.75" customHeight="1" x14ac:dyDescent="0.2">
      <c r="B55" s="11"/>
      <c r="C55" s="38"/>
      <c r="D55" s="465"/>
      <c r="E55" s="37"/>
      <c r="F55" s="37" t="s">
        <v>75</v>
      </c>
      <c r="G55" s="93">
        <f>IF('faciliteiten bij fusie'!G63="ja",'faciliteiten bij fusie'!F62*tab!$D$22,0)</f>
        <v>0</v>
      </c>
      <c r="H55" s="37"/>
      <c r="I55" s="37"/>
      <c r="J55" s="37" t="s">
        <v>75</v>
      </c>
      <c r="K55" s="93">
        <f>IF('faciliteiten bij fusie'!K63="ja",'faciliteiten bij fusie'!J62*tab!$D$22,0)</f>
        <v>0</v>
      </c>
      <c r="L55" s="37"/>
      <c r="M55" s="37"/>
      <c r="N55" s="37" t="s">
        <v>75</v>
      </c>
      <c r="O55" s="93">
        <f>IF('faciliteiten bij fusie'!O63="ja",'faciliteiten bij fusie'!N62*tab!$D$22,0)</f>
        <v>0</v>
      </c>
      <c r="P55" s="39"/>
      <c r="Q55" s="13"/>
    </row>
    <row r="56" spans="2:17" ht="12.75" customHeight="1" x14ac:dyDescent="0.2">
      <c r="B56" s="11"/>
      <c r="C56" s="38"/>
      <c r="D56" s="465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9"/>
      <c r="Q56" s="13"/>
    </row>
    <row r="57" spans="2:17" ht="12.75" customHeight="1" x14ac:dyDescent="0.2">
      <c r="B57" s="11"/>
      <c r="C57" s="38"/>
      <c r="D57" s="465"/>
      <c r="E57" s="44" t="s">
        <v>59</v>
      </c>
      <c r="F57" s="37"/>
      <c r="G57" s="99">
        <f>IF('faciliteiten bij fusie'!G59=0,0,ROUND(IF(SUM(G48:G55)&lt;(tab!$D35+tab!$D36*'faciliteiten bij fusie'!G55),tab!$D35+tab!$D36*'faciliteiten bij fusie'!G55,SUM(G48:G55)),2))</f>
        <v>0</v>
      </c>
      <c r="H57" s="37"/>
      <c r="I57" s="44" t="s">
        <v>59</v>
      </c>
      <c r="J57" s="37"/>
      <c r="K57" s="99">
        <f>IF('faciliteiten bij fusie'!K59=0,0,ROUND(IF(SUM(K48:K55)&lt;(tab!$D35+tab!$D36*'faciliteiten bij fusie'!G55),tab!$D35+tab!$D36*'faciliteiten bij fusie'!G55,SUM(K48:K55)),2))</f>
        <v>0</v>
      </c>
      <c r="L57" s="37"/>
      <c r="M57" s="44" t="s">
        <v>59</v>
      </c>
      <c r="N57" s="37"/>
      <c r="O57" s="100">
        <f>IF('faciliteiten bij fusie'!G59=0,0,ROUND(IF(SUM(O48:O55)&lt;(tab!$D35+tab!$D36*'faciliteiten bij fusie'!G55),tab!$D35+tab!$D36*'faciliteiten bij fusie'!G55,SUM(O48:O55)),2))</f>
        <v>0</v>
      </c>
      <c r="P57" s="39"/>
      <c r="Q57" s="13"/>
    </row>
    <row r="58" spans="2:17" s="85" customFormat="1" ht="12.75" customHeight="1" x14ac:dyDescent="0.2">
      <c r="B58" s="81"/>
      <c r="C58" s="82"/>
      <c r="D58" s="465"/>
      <c r="E58" s="98" t="s">
        <v>20</v>
      </c>
      <c r="F58" s="98"/>
      <c r="G58" s="128">
        <f>IF('faciliteiten bij fusie'!G59=0,0,ROUND(IF(SUM(G48:G55)&lt;(tab!$D35+tab!$D36*'faciliteiten bij fusie'!G55),(tab!$D35+tab!$D36*'faciliteiten bij fusie'!G55)-SUM(G48:G55),0),2))</f>
        <v>0</v>
      </c>
      <c r="H58" s="98"/>
      <c r="I58" s="98" t="s">
        <v>20</v>
      </c>
      <c r="J58" s="98"/>
      <c r="K58" s="128">
        <f>IF('faciliteiten bij fusie'!K59=0,0,ROUND(IF(SUM(K48:K55)&lt;(tab!$D35+tab!$D36*'faciliteiten bij fusie'!G55),(tab!$D35+tab!$D36*'faciliteiten bij fusie'!G55)-SUM(K48:K55),0),2))</f>
        <v>0</v>
      </c>
      <c r="L58" s="98"/>
      <c r="M58" s="98" t="s">
        <v>20</v>
      </c>
      <c r="N58" s="98"/>
      <c r="O58" s="128">
        <f>IF('faciliteiten bij fusie'!O59=0,0,ROUND(IF(SUM(O48:O55)&lt;(tab!$D35+tab!$D36*'faciliteiten bij fusie'!O55),(tab!$D35+tab!$D36*'faciliteiten bij fusie'!O55)-SUM(O48:O55),0),2))</f>
        <v>0</v>
      </c>
      <c r="P58" s="83"/>
      <c r="Q58" s="84"/>
    </row>
    <row r="59" spans="2:17" ht="12.75" customHeight="1" x14ac:dyDescent="0.2">
      <c r="B59" s="11"/>
      <c r="C59" s="48"/>
      <c r="D59" s="467"/>
      <c r="E59" s="49"/>
      <c r="F59" s="49"/>
      <c r="G59" s="68"/>
      <c r="H59" s="49"/>
      <c r="I59" s="49"/>
      <c r="J59" s="49"/>
      <c r="K59" s="68"/>
      <c r="L59" s="49"/>
      <c r="M59" s="49"/>
      <c r="N59" s="49"/>
      <c r="O59" s="67"/>
      <c r="P59" s="51"/>
      <c r="Q59" s="13"/>
    </row>
    <row r="60" spans="2:17" ht="12.75" customHeight="1" x14ac:dyDescent="0.2">
      <c r="B60" s="11"/>
      <c r="C60" s="12"/>
      <c r="D60" s="462"/>
      <c r="E60" s="12"/>
      <c r="F60" s="12"/>
      <c r="G60" s="60"/>
      <c r="H60" s="12"/>
      <c r="I60" s="12"/>
      <c r="J60" s="12"/>
      <c r="K60" s="355"/>
      <c r="L60" s="12"/>
      <c r="M60" s="12"/>
      <c r="N60" s="12"/>
      <c r="O60" s="355"/>
      <c r="P60" s="12"/>
      <c r="Q60" s="13"/>
    </row>
    <row r="61" spans="2:17" ht="12.75" customHeight="1" x14ac:dyDescent="0.2">
      <c r="B61" s="11"/>
      <c r="C61" s="471" t="s">
        <v>217</v>
      </c>
      <c r="D61" s="462"/>
      <c r="E61" s="12"/>
      <c r="F61" s="12"/>
      <c r="G61" s="60"/>
      <c r="H61" s="12"/>
      <c r="I61" s="12"/>
      <c r="J61" s="12"/>
      <c r="K61" s="355"/>
      <c r="L61" s="12"/>
      <c r="M61" s="12"/>
      <c r="N61" s="12"/>
      <c r="O61" s="355"/>
      <c r="P61" s="12"/>
      <c r="Q61" s="13"/>
    </row>
    <row r="62" spans="2:17" ht="12.75" customHeight="1" x14ac:dyDescent="0.2">
      <c r="B62" s="11"/>
      <c r="C62" s="12"/>
      <c r="D62" s="462"/>
      <c r="E62" s="12"/>
      <c r="F62" s="12"/>
      <c r="G62" s="60"/>
      <c r="H62" s="12"/>
      <c r="I62" s="12"/>
      <c r="J62" s="12"/>
      <c r="K62" s="355"/>
      <c r="L62" s="12"/>
      <c r="M62" s="12"/>
      <c r="N62" s="12"/>
      <c r="O62" s="355"/>
      <c r="P62" s="12"/>
      <c r="Q62" s="13"/>
    </row>
    <row r="63" spans="2:17" ht="12.75" customHeight="1" x14ac:dyDescent="0.2">
      <c r="B63" s="11"/>
      <c r="C63" s="34"/>
      <c r="D63" s="464"/>
      <c r="E63" s="35"/>
      <c r="F63" s="35"/>
      <c r="G63" s="66"/>
      <c r="H63" s="35"/>
      <c r="I63" s="35"/>
      <c r="J63" s="35"/>
      <c r="K63" s="66"/>
      <c r="L63" s="35"/>
      <c r="M63" s="35"/>
      <c r="N63" s="35"/>
      <c r="O63" s="66"/>
      <c r="P63" s="36"/>
      <c r="Q63" s="13"/>
    </row>
    <row r="64" spans="2:17" s="74" customFormat="1" ht="12.75" customHeight="1" x14ac:dyDescent="0.2">
      <c r="B64" s="70"/>
      <c r="C64" s="71"/>
      <c r="D64" s="465" t="s">
        <v>240</v>
      </c>
      <c r="E64" s="92" t="s">
        <v>218</v>
      </c>
      <c r="F64" s="92"/>
      <c r="G64" s="358" t="str">
        <f>'faciliteiten bij fusie'!E80</f>
        <v>Naam gefuseerde school</v>
      </c>
      <c r="H64" s="92"/>
      <c r="I64" s="92" t="s">
        <v>220</v>
      </c>
      <c r="J64" s="92"/>
      <c r="K64" s="66"/>
      <c r="L64" s="92"/>
      <c r="M64" s="92" t="s">
        <v>221</v>
      </c>
      <c r="N64" s="92"/>
      <c r="O64" s="66"/>
      <c r="P64" s="72"/>
      <c r="Q64" s="73"/>
    </row>
    <row r="65" spans="2:17" ht="12.75" customHeight="1" x14ac:dyDescent="0.2">
      <c r="B65" s="11"/>
      <c r="C65" s="38"/>
      <c r="D65" s="465"/>
      <c r="E65" s="44" t="s">
        <v>7</v>
      </c>
      <c r="F65" s="37"/>
      <c r="G65" s="40"/>
      <c r="H65" s="37"/>
      <c r="I65" s="44" t="s">
        <v>7</v>
      </c>
      <c r="J65" s="37"/>
      <c r="K65" s="40"/>
      <c r="L65" s="37"/>
      <c r="M65" s="44" t="s">
        <v>7</v>
      </c>
      <c r="N65" s="37"/>
      <c r="O65" s="40"/>
      <c r="P65" s="39"/>
      <c r="Q65" s="13"/>
    </row>
    <row r="66" spans="2:17" ht="12.75" customHeight="1" x14ac:dyDescent="0.2">
      <c r="B66" s="11"/>
      <c r="C66" s="38"/>
      <c r="D66" s="465"/>
      <c r="E66" s="37" t="s">
        <v>8</v>
      </c>
      <c r="F66" s="37"/>
      <c r="G66" s="40"/>
      <c r="H66" s="37"/>
      <c r="I66" s="37" t="s">
        <v>8</v>
      </c>
      <c r="J66" s="37"/>
      <c r="K66" s="40"/>
      <c r="L66" s="37"/>
      <c r="M66" s="37" t="s">
        <v>8</v>
      </c>
      <c r="N66" s="37"/>
      <c r="O66" s="40"/>
      <c r="P66" s="39"/>
      <c r="Q66" s="13"/>
    </row>
    <row r="67" spans="2:17" ht="12.75" customHeight="1" x14ac:dyDescent="0.2">
      <c r="B67" s="11"/>
      <c r="C67" s="38"/>
      <c r="D67" s="465"/>
      <c r="E67" s="37"/>
      <c r="F67" s="37" t="s">
        <v>11</v>
      </c>
      <c r="G67" s="163">
        <f>+'faciliteiten bij fusie'!G83*(tab!$D25+tab!$D26*'faciliteiten bij fusie'!G81)</f>
        <v>134288.17050000001</v>
      </c>
      <c r="H67" s="37"/>
      <c r="I67" s="37"/>
      <c r="J67" s="37" t="s">
        <v>11</v>
      </c>
      <c r="K67" s="163">
        <f>+'faciliteiten bij fusie'!K83*(tab!$D25+tab!$D26*'faciliteiten bij fusie'!$G81)</f>
        <v>89525.447</v>
      </c>
      <c r="L67" s="37"/>
      <c r="M67" s="37"/>
      <c r="N67" s="37" t="s">
        <v>11</v>
      </c>
      <c r="O67" s="163">
        <f>G67+K67</f>
        <v>223813.61749999999</v>
      </c>
      <c r="P67" s="39"/>
      <c r="Q67" s="13"/>
    </row>
    <row r="68" spans="2:17" ht="12.75" customHeight="1" x14ac:dyDescent="0.2">
      <c r="B68" s="11"/>
      <c r="C68" s="38"/>
      <c r="D68" s="465"/>
      <c r="E68" s="37"/>
      <c r="F68" s="37" t="s">
        <v>12</v>
      </c>
      <c r="G68" s="163">
        <f>+'faciliteiten bij fusie'!G84*(tab!$D27+tab!$D28*'faciliteiten bij fusie'!G81)</f>
        <v>87768.740700000009</v>
      </c>
      <c r="H68" s="37"/>
      <c r="I68" s="37"/>
      <c r="J68" s="37" t="s">
        <v>12</v>
      </c>
      <c r="K68" s="163">
        <f>+'faciliteiten bij fusie'!K84*(tab!$D27+tab!$D28*'faciliteiten bij fusie'!$G81)</f>
        <v>79274.991600000008</v>
      </c>
      <c r="L68" s="37"/>
      <c r="M68" s="37"/>
      <c r="N68" s="37" t="s">
        <v>12</v>
      </c>
      <c r="O68" s="163">
        <f>G68+K68</f>
        <v>167043.73230000003</v>
      </c>
      <c r="P68" s="39"/>
      <c r="Q68" s="13"/>
    </row>
    <row r="69" spans="2:17" ht="12.75" customHeight="1" x14ac:dyDescent="0.2">
      <c r="B69" s="11"/>
      <c r="C69" s="38"/>
      <c r="D69" s="465"/>
      <c r="E69" s="37" t="s">
        <v>9</v>
      </c>
      <c r="F69" s="37"/>
      <c r="G69" s="288"/>
      <c r="H69" s="37"/>
      <c r="I69" s="37" t="s">
        <v>9</v>
      </c>
      <c r="J69" s="37"/>
      <c r="K69" s="288"/>
      <c r="L69" s="37"/>
      <c r="M69" s="37" t="s">
        <v>9</v>
      </c>
      <c r="N69" s="37"/>
      <c r="O69" s="288"/>
      <c r="P69" s="39"/>
      <c r="Q69" s="13"/>
    </row>
    <row r="70" spans="2:17" ht="12.75" customHeight="1" x14ac:dyDescent="0.2">
      <c r="B70" s="11"/>
      <c r="C70" s="38"/>
      <c r="D70" s="465"/>
      <c r="E70" s="37"/>
      <c r="F70" s="37" t="s">
        <v>13</v>
      </c>
      <c r="G70" s="163">
        <f>IF('faciliteiten bij fusie'!G85=0,0,IF('faciliteiten bij fusie'!G85&gt;144,0,tab!$D31+tab!$D32*'faciliteiten bij fusie'!$G81-('faciliteiten bij fusie'!G85*(tab!$D33+tab!$D34*'faciliteiten bij fusie'!$G81))))</f>
        <v>81885.615000000005</v>
      </c>
      <c r="H70" s="37"/>
      <c r="I70" s="37"/>
      <c r="J70" s="37" t="s">
        <v>13</v>
      </c>
      <c r="K70" s="163">
        <f>IF('faciliteiten bij fusie'!K85=0,0,IF('faciliteiten bij fusie'!K85&gt;144,0,tab!$D31+tab!$D32*'faciliteiten bij fusie'!$G81-('faciliteiten bij fusie'!K85*(tab!$D33+tab!$D34*'faciliteiten bij fusie'!$G81))))</f>
        <v>96149.639599999995</v>
      </c>
      <c r="L70" s="37"/>
      <c r="M70" s="37"/>
      <c r="N70" s="37" t="s">
        <v>13</v>
      </c>
      <c r="O70" s="163">
        <f>IF('faciliteiten bij fusie'!O85=0,0,IF('faciliteiten bij fusie'!O85&gt;144,0,tab!$D31+tab!$D32*'faciliteiten bij fusie'!$G81-('faciliteiten bij fusie'!O85*(tab!$D33+tab!$D34*'faciliteiten bij fusie'!$G81))))</f>
        <v>30942.670000000013</v>
      </c>
      <c r="P70" s="39"/>
      <c r="Q70" s="13"/>
    </row>
    <row r="71" spans="2:17" ht="12.75" customHeight="1" x14ac:dyDescent="0.2">
      <c r="B71" s="11"/>
      <c r="C71" s="38"/>
      <c r="D71" s="465"/>
      <c r="E71" s="37"/>
      <c r="F71" s="37" t="s">
        <v>58</v>
      </c>
      <c r="G71" s="163">
        <f>IF('faciliteiten bij fusie'!G85=0,0,IF('faciliteiten bij fusie'!G85&gt;tab!$D37,tab!$D39,tab!$D38))</f>
        <v>17809.95</v>
      </c>
      <c r="H71" s="37"/>
      <c r="I71" s="37"/>
      <c r="J71" s="37" t="s">
        <v>58</v>
      </c>
      <c r="K71" s="163">
        <f>IF('faciliteiten bij fusie'!K85=0,0,IF('faciliteiten bij fusie'!K85&gt;tab!$D37,tab!$D39,tab!D38))</f>
        <v>17809.95</v>
      </c>
      <c r="L71" s="37"/>
      <c r="M71" s="37"/>
      <c r="N71" s="37" t="s">
        <v>58</v>
      </c>
      <c r="O71" s="163">
        <f>IF('faciliteiten bij fusie'!O85=0,0,IF('faciliteiten bij fusie'!O85&gt;tab!$D37,tab!$D39,tab!D38))</f>
        <v>32785.9</v>
      </c>
      <c r="P71" s="39"/>
      <c r="Q71" s="13"/>
    </row>
    <row r="72" spans="2:17" ht="12.75" customHeight="1" x14ac:dyDescent="0.2">
      <c r="B72" s="11"/>
      <c r="C72" s="38"/>
      <c r="D72" s="465"/>
      <c r="E72" s="44" t="s">
        <v>10</v>
      </c>
      <c r="F72" s="37"/>
      <c r="G72" s="288"/>
      <c r="H72" s="37"/>
      <c r="I72" s="44" t="s">
        <v>10</v>
      </c>
      <c r="J72" s="37"/>
      <c r="K72" s="288"/>
      <c r="L72" s="37"/>
      <c r="M72" s="44" t="s">
        <v>10</v>
      </c>
      <c r="N72" s="37"/>
      <c r="O72" s="288"/>
      <c r="P72" s="39"/>
      <c r="Q72" s="13"/>
    </row>
    <row r="73" spans="2:17" ht="12.75" customHeight="1" x14ac:dyDescent="0.2">
      <c r="B73" s="11"/>
      <c r="C73" s="38"/>
      <c r="D73" s="465"/>
      <c r="E73" s="37"/>
      <c r="F73" s="37" t="s">
        <v>14</v>
      </c>
      <c r="G73" s="163">
        <f>+'faciliteiten bij fusie'!G88*(tab!$D29+tab!$D30*'faciliteiten bij fusie'!$G81)</f>
        <v>3440.1302000000001</v>
      </c>
      <c r="H73" s="37"/>
      <c r="I73" s="37"/>
      <c r="J73" s="37" t="s">
        <v>14</v>
      </c>
      <c r="K73" s="163">
        <f>+'faciliteiten bij fusie'!K88*(tab!$D29+tab!$D30*'faciliteiten bij fusie'!$G81)</f>
        <v>30961.1718</v>
      </c>
      <c r="L73" s="37"/>
      <c r="M73" s="37"/>
      <c r="N73" s="37" t="s">
        <v>14</v>
      </c>
      <c r="O73" s="163">
        <f>('faciliteiten bij fusie'!G88+'faciliteiten bij fusie'!K88)*(tab!$D29+tab!$D30*'faciliteiten bij fusie'!G81)</f>
        <v>34401.302000000003</v>
      </c>
      <c r="P73" s="39"/>
      <c r="Q73" s="13"/>
    </row>
    <row r="74" spans="2:17" ht="12.75" customHeight="1" x14ac:dyDescent="0.2">
      <c r="B74" s="11"/>
      <c r="C74" s="38"/>
      <c r="D74" s="465"/>
      <c r="E74" s="37"/>
      <c r="F74" s="37" t="s">
        <v>75</v>
      </c>
      <c r="G74" s="163">
        <f>IF('faciliteiten bij fusie'!G89="ja",'faciliteiten bij fusie'!F88*tab!$D$22,0)</f>
        <v>27734</v>
      </c>
      <c r="H74" s="37"/>
      <c r="I74" s="37"/>
      <c r="J74" s="37" t="s">
        <v>75</v>
      </c>
      <c r="K74" s="163">
        <f>IF('faciliteiten bij fusie'!K89="ja",'faciliteiten bij fusie'!J88*tab!$D$22,0)</f>
        <v>0</v>
      </c>
      <c r="L74" s="37"/>
      <c r="M74" s="37"/>
      <c r="N74" s="37" t="s">
        <v>75</v>
      </c>
      <c r="O74" s="163">
        <f>IF('faciliteiten bij fusie'!O89="ja",'faciliteiten bij fusie'!N88*tab!$D$22,0)</f>
        <v>61411</v>
      </c>
      <c r="P74" s="39"/>
      <c r="Q74" s="13"/>
    </row>
    <row r="75" spans="2:17" ht="12.75" customHeight="1" x14ac:dyDescent="0.2">
      <c r="B75" s="11"/>
      <c r="C75" s="38"/>
      <c r="D75" s="465"/>
      <c r="E75" s="37"/>
      <c r="F75" s="37"/>
      <c r="G75" s="90"/>
      <c r="H75" s="37"/>
      <c r="I75" s="37"/>
      <c r="J75" s="37"/>
      <c r="K75" s="90"/>
      <c r="L75" s="37"/>
      <c r="M75" s="37"/>
      <c r="N75" s="37"/>
      <c r="O75" s="90"/>
      <c r="P75" s="39"/>
      <c r="Q75" s="13"/>
    </row>
    <row r="76" spans="2:17" ht="12.75" customHeight="1" x14ac:dyDescent="0.2">
      <c r="B76" s="11"/>
      <c r="C76" s="38"/>
      <c r="D76" s="465"/>
      <c r="E76" s="44" t="s">
        <v>59</v>
      </c>
      <c r="F76" s="37"/>
      <c r="G76" s="100">
        <f>IF('faciliteiten bij fusie'!G85=0,0,ROUND(IF(SUM(G67:G74)&lt;(tab!$D35+tab!$D36*'faciliteiten bij fusie'!G81),tab!$D35+tab!$D36*'faciliteiten bij fusie'!G81,SUM(G67:G74)),2))</f>
        <v>352926.61</v>
      </c>
      <c r="H76" s="37"/>
      <c r="I76" s="44" t="s">
        <v>59</v>
      </c>
      <c r="J76" s="37"/>
      <c r="K76" s="100">
        <f>IF('faciliteiten bij fusie'!K85=0,0,ROUND(IF(SUM(K67:K74)&lt;(tab!$D35+tab!$D36*'faciliteiten bij fusie'!$G81),tab!$D35+tab!$D36*'faciliteiten bij fusie'!$G81,SUM(K67:K74)),2))</f>
        <v>313721.2</v>
      </c>
      <c r="L76" s="37"/>
      <c r="M76" s="44" t="s">
        <v>59</v>
      </c>
      <c r="N76" s="37"/>
      <c r="O76" s="100">
        <f>IF(('faciliteiten bij fusie'!G85+'faciliteiten bij fusie'!K85)=0,0,ROUND(IF(SUM(O67:O74)&lt;(tab!$D35+tab!$D36*('faciliteiten bij fusie'!G85+'faciliteiten bij fusie'!K85)),tab!$D35+tab!$D36*('faciliteiten bij fusie'!G85+'faciliteiten bij fusie'!K85),SUM(O67:O74)),2))</f>
        <v>550398.22</v>
      </c>
      <c r="P76" s="39"/>
      <c r="Q76" s="13"/>
    </row>
    <row r="77" spans="2:17" s="85" customFormat="1" ht="12.75" customHeight="1" x14ac:dyDescent="0.2">
      <c r="B77" s="81"/>
      <c r="C77" s="82"/>
      <c r="D77" s="465"/>
      <c r="E77" s="98" t="s">
        <v>20</v>
      </c>
      <c r="F77" s="98"/>
      <c r="G77" s="276">
        <f>IF('faciliteiten bij fusie'!G85=0,0,ROUND(IF(SUM(G67:G74)&lt;(tab!$D35+tab!$D36*'faciliteiten bij fusie'!$G81),(tab!$D35+tab!$D36*'faciliteiten bij fusie'!$G81)-SUM(G67:G74),0),2))</f>
        <v>0</v>
      </c>
      <c r="H77" s="98"/>
      <c r="I77" s="98" t="s">
        <v>20</v>
      </c>
      <c r="J77" s="98"/>
      <c r="K77" s="276">
        <f>IF('faciliteiten bij fusie'!K85=0,0,ROUND(IF(SUM(K67:K73)&lt;(tab!$D35+tab!$D36*'faciliteiten bij fusie'!G81),(tab!$D35+tab!$D36*'faciliteiten bij fusie'!G81)-SUM(K67:K73),0),2))</f>
        <v>0</v>
      </c>
      <c r="L77" s="98"/>
      <c r="M77" s="98" t="s">
        <v>20</v>
      </c>
      <c r="N77" s="98"/>
      <c r="O77" s="276">
        <f>IF('faciliteiten bij fusie'!O85=0,0,ROUND(IF(SUM(O67:O74)&lt;(tab!$D35+tab!$D36*'faciliteiten bij fusie'!$G81),(tab!$D35+tab!$D36*'faciliteiten bij fusie'!$G81)-SUM(O67:O74),0),2))</f>
        <v>0</v>
      </c>
      <c r="P77" s="78"/>
      <c r="Q77" s="84"/>
    </row>
    <row r="78" spans="2:17" ht="12.75" customHeight="1" x14ac:dyDescent="0.2">
      <c r="B78" s="11"/>
      <c r="C78" s="48"/>
      <c r="D78" s="467"/>
      <c r="E78" s="49"/>
      <c r="F78" s="49"/>
      <c r="G78" s="68"/>
      <c r="H78" s="49"/>
      <c r="I78" s="49"/>
      <c r="J78" s="49"/>
      <c r="K78" s="68"/>
      <c r="L78" s="49"/>
      <c r="M78" s="49"/>
      <c r="N78" s="49"/>
      <c r="O78" s="69"/>
      <c r="P78" s="51"/>
      <c r="Q78" s="13"/>
    </row>
    <row r="79" spans="2:17" ht="12.75" customHeight="1" x14ac:dyDescent="0.2">
      <c r="B79" s="11"/>
      <c r="C79" s="12"/>
      <c r="D79" s="462"/>
      <c r="E79" s="12"/>
      <c r="F79" s="12"/>
      <c r="G79" s="60"/>
      <c r="H79" s="12"/>
      <c r="I79" s="12"/>
      <c r="J79" s="12"/>
      <c r="K79" s="355"/>
      <c r="L79" s="12"/>
      <c r="M79" s="12"/>
      <c r="N79" s="12"/>
      <c r="O79" s="355"/>
      <c r="P79" s="12"/>
      <c r="Q79" s="13"/>
    </row>
    <row r="80" spans="2:17" ht="12.75" customHeight="1" x14ac:dyDescent="0.25">
      <c r="B80" s="61"/>
      <c r="C80" s="62"/>
      <c r="D80" s="469"/>
      <c r="E80" s="62"/>
      <c r="F80" s="62"/>
      <c r="G80" s="63"/>
      <c r="H80" s="62"/>
      <c r="I80" s="62"/>
      <c r="J80" s="62"/>
      <c r="K80" s="62"/>
      <c r="L80" s="62"/>
      <c r="M80" s="62"/>
      <c r="N80" s="62"/>
      <c r="O80" s="62"/>
      <c r="P80" s="17" t="s">
        <v>84</v>
      </c>
      <c r="Q80" s="64"/>
    </row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</sheetData>
  <sheetProtection algorithmName="SHA-512" hashValue="7eMlNKT2cDmI0BUpiG93ukJcLOZ/JuGnC99sTYqscgf9eA2lmjaOmztcpNU1532W75c2KSo+GYIhisXZr2/nGA==" saltValue="fHLmvhND/Yo/JuhlgGydW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>
    <oddHeader>&amp;L&amp;"Arial,Vet"&amp;A&amp;C&amp;"Arial,Vet"&amp;F&amp;R&amp;"Arial,Vet"&amp;D</oddHeader>
    <oddFooter>&amp;L&amp;"Arial,Vet"PO-Raad&amp;R&amp;"Arial,Vet"&amp;P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B2:AQ205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3.85546875" style="142" customWidth="1"/>
    <col min="2" max="3" width="2.7109375" style="142" customWidth="1"/>
    <col min="4" max="4" width="46.28515625" style="142" customWidth="1"/>
    <col min="5" max="5" width="15.7109375" style="142" customWidth="1"/>
    <col min="6" max="6" width="1.7109375" style="142" customWidth="1"/>
    <col min="7" max="7" width="16" style="142" customWidth="1"/>
    <col min="8" max="10" width="2.7109375" style="142" customWidth="1"/>
    <col min="11" max="11" width="11.28515625" style="142" customWidth="1"/>
    <col min="12" max="13" width="9.7109375" style="142" bestFit="1" customWidth="1"/>
    <col min="14" max="14" width="12.5703125" style="142" bestFit="1" customWidth="1"/>
    <col min="15" max="15" width="12.28515625" style="142" customWidth="1"/>
    <col min="16" max="16" width="16.28515625" style="142" bestFit="1" customWidth="1"/>
    <col min="17" max="18" width="9.140625" style="142"/>
    <col min="19" max="21" width="9.28515625" style="142" bestFit="1" customWidth="1"/>
    <col min="22" max="22" width="11.140625" style="142" customWidth="1"/>
    <col min="23" max="25" width="9.140625" style="142"/>
    <col min="26" max="28" width="9.28515625" style="142" bestFit="1" customWidth="1"/>
    <col min="29" max="29" width="10.85546875" style="142" customWidth="1"/>
    <col min="30" max="31" width="9.140625" style="142"/>
    <col min="32" max="32" width="11.42578125" style="142" customWidth="1"/>
    <col min="33" max="33" width="9.28515625" style="142" bestFit="1" customWidth="1"/>
    <col min="34" max="34" width="9.42578125" style="142" bestFit="1" customWidth="1"/>
    <col min="35" max="35" width="12.42578125" style="142" bestFit="1" customWidth="1"/>
    <col min="36" max="36" width="11.5703125" style="142" customWidth="1"/>
    <col min="37" max="37" width="16.85546875" style="142" bestFit="1" customWidth="1"/>
    <col min="38" max="39" width="9.140625" style="142"/>
    <col min="40" max="42" width="9.42578125" style="142" bestFit="1" customWidth="1"/>
    <col min="43" max="43" width="10.7109375" style="142" customWidth="1"/>
    <col min="44" max="46" width="9.140625" style="142"/>
    <col min="47" max="48" width="9.42578125" style="142" bestFit="1" customWidth="1"/>
    <col min="49" max="49" width="10" style="142" bestFit="1" customWidth="1"/>
    <col min="50" max="50" width="11.28515625" style="142" bestFit="1" customWidth="1"/>
    <col min="51" max="55" width="9.140625" style="142"/>
    <col min="56" max="56" width="9.42578125" style="142" bestFit="1" customWidth="1"/>
    <col min="57" max="57" width="9.140625" style="142"/>
    <col min="58" max="58" width="10.42578125" style="142" bestFit="1" customWidth="1"/>
    <col min="59" max="59" width="9.140625" style="142"/>
    <col min="60" max="60" width="9.42578125" style="142" bestFit="1" customWidth="1"/>
    <col min="61" max="16384" width="9.140625" style="142"/>
  </cols>
  <sheetData>
    <row r="2" spans="2:9" ht="12.6" customHeight="1" x14ac:dyDescent="0.2">
      <c r="B2" s="131"/>
      <c r="C2" s="132"/>
      <c r="D2" s="132"/>
      <c r="E2" s="132"/>
      <c r="F2" s="132"/>
      <c r="G2" s="132"/>
      <c r="H2" s="132"/>
      <c r="I2" s="133"/>
    </row>
    <row r="3" spans="2:9" ht="12.6" customHeight="1" x14ac:dyDescent="0.2">
      <c r="B3" s="134"/>
      <c r="C3" s="135"/>
      <c r="D3" s="135"/>
      <c r="E3" s="135"/>
      <c r="F3" s="135"/>
      <c r="G3" s="135"/>
      <c r="H3" s="135"/>
      <c r="I3" s="136"/>
    </row>
    <row r="4" spans="2:9" s="167" customFormat="1" ht="18" customHeight="1" x14ac:dyDescent="0.3">
      <c r="B4" s="147"/>
      <c r="C4" s="159" t="s">
        <v>280</v>
      </c>
      <c r="D4" s="166"/>
      <c r="E4" s="166"/>
      <c r="F4" s="166"/>
      <c r="G4" s="135"/>
      <c r="H4" s="166"/>
      <c r="I4" s="148"/>
    </row>
    <row r="5" spans="2:9" s="172" customFormat="1" ht="12.75" customHeight="1" x14ac:dyDescent="0.25">
      <c r="B5" s="168"/>
      <c r="C5" s="370" t="s">
        <v>304</v>
      </c>
      <c r="D5" s="135"/>
      <c r="E5" s="169"/>
      <c r="F5" s="169"/>
      <c r="G5" s="170"/>
      <c r="H5" s="169"/>
      <c r="I5" s="171"/>
    </row>
    <row r="6" spans="2:9" s="172" customFormat="1" ht="12.75" customHeight="1" x14ac:dyDescent="0.2">
      <c r="B6" s="168"/>
      <c r="C6" s="169"/>
      <c r="D6" s="135"/>
      <c r="E6" s="169"/>
      <c r="F6" s="169"/>
      <c r="G6" s="170"/>
      <c r="H6" s="169"/>
      <c r="I6" s="171"/>
    </row>
    <row r="7" spans="2:9" ht="12.75" customHeight="1" x14ac:dyDescent="0.2">
      <c r="B7" s="134"/>
      <c r="C7" s="135"/>
      <c r="D7" s="135"/>
      <c r="E7" s="135"/>
      <c r="F7" s="135"/>
      <c r="G7" s="135"/>
      <c r="H7" s="135"/>
      <c r="I7" s="136"/>
    </row>
    <row r="8" spans="2:9" ht="12.6" customHeight="1" x14ac:dyDescent="0.2">
      <c r="B8" s="134"/>
      <c r="D8" s="173"/>
      <c r="E8" s="181"/>
      <c r="F8" s="181"/>
      <c r="G8" s="181"/>
      <c r="H8" s="174"/>
      <c r="I8" s="136"/>
    </row>
    <row r="9" spans="2:9" ht="12.6" customHeight="1" x14ac:dyDescent="0.2">
      <c r="B9" s="134"/>
      <c r="D9" s="262" t="s">
        <v>305</v>
      </c>
      <c r="E9" s="263" t="s">
        <v>91</v>
      </c>
      <c r="F9" s="263"/>
      <c r="G9" s="263"/>
      <c r="H9" s="173"/>
      <c r="I9" s="136"/>
    </row>
    <row r="10" spans="2:9" ht="12.6" customHeight="1" x14ac:dyDescent="0.2">
      <c r="B10" s="134"/>
      <c r="D10" s="209"/>
      <c r="E10" s="174"/>
      <c r="F10" s="174"/>
      <c r="G10" s="174"/>
      <c r="H10" s="174"/>
      <c r="I10" s="136"/>
    </row>
    <row r="11" spans="2:9" ht="12.6" customHeight="1" x14ac:dyDescent="0.2">
      <c r="B11" s="134"/>
      <c r="D11" s="209" t="s">
        <v>265</v>
      </c>
      <c r="E11" s="174"/>
      <c r="F11" s="174"/>
      <c r="G11" s="377">
        <v>41.5</v>
      </c>
      <c r="H11" s="174"/>
      <c r="I11" s="136"/>
    </row>
    <row r="12" spans="2:9" ht="12.6" customHeight="1" x14ac:dyDescent="0.2">
      <c r="B12" s="134"/>
      <c r="D12" s="138" t="s">
        <v>6</v>
      </c>
      <c r="E12" s="138"/>
      <c r="F12" s="138"/>
      <c r="G12" s="156"/>
      <c r="H12" s="174"/>
      <c r="I12" s="136"/>
    </row>
    <row r="13" spans="2:9" ht="12.6" customHeight="1" x14ac:dyDescent="0.2">
      <c r="B13" s="134"/>
      <c r="D13" s="37" t="str">
        <f>"Aantal leerlingen 4 t/m 7 jaar per 1 oktober "&amp;tab!$D$4</f>
        <v>Aantal leerlingen 4 t/m 7 jaar per 1 oktober 2018</v>
      </c>
      <c r="E13" s="137"/>
      <c r="F13" s="137"/>
      <c r="G13" s="175">
        <v>5</v>
      </c>
      <c r="H13" s="174"/>
      <c r="I13" s="136"/>
    </row>
    <row r="14" spans="2:9" ht="12.6" customHeight="1" x14ac:dyDescent="0.2">
      <c r="B14" s="134"/>
      <c r="D14" s="37" t="str">
        <f>"Aantal leerlingen 8 jaar en ouder per 1 oktober "&amp;tab!$D$4</f>
        <v>Aantal leerlingen 8 jaar en ouder per 1 oktober 2018</v>
      </c>
      <c r="E14" s="137"/>
      <c r="F14" s="137"/>
      <c r="G14" s="175">
        <v>9</v>
      </c>
      <c r="H14" s="174"/>
      <c r="I14" s="136"/>
    </row>
    <row r="15" spans="2:9" ht="12.6" customHeight="1" x14ac:dyDescent="0.2">
      <c r="B15" s="134"/>
      <c r="D15" s="138" t="s">
        <v>5</v>
      </c>
      <c r="E15" s="138"/>
      <c r="F15" s="138"/>
      <c r="G15" s="176">
        <f>SUM(G13:G14)</f>
        <v>14</v>
      </c>
      <c r="H15" s="174"/>
      <c r="I15" s="136"/>
    </row>
    <row r="16" spans="2:9" ht="12.6" customHeight="1" x14ac:dyDescent="0.2">
      <c r="B16" s="134"/>
      <c r="D16" s="137" t="s">
        <v>0</v>
      </c>
      <c r="E16" s="177">
        <v>0.3</v>
      </c>
      <c r="F16" s="177"/>
      <c r="G16" s="175">
        <v>0</v>
      </c>
      <c r="H16" s="174"/>
      <c r="I16" s="136"/>
    </row>
    <row r="17" spans="2:9" ht="12.6" customHeight="1" x14ac:dyDescent="0.2">
      <c r="B17" s="134"/>
      <c r="D17" s="137" t="s">
        <v>0</v>
      </c>
      <c r="E17" s="177">
        <v>1.2</v>
      </c>
      <c r="F17" s="177"/>
      <c r="G17" s="175">
        <v>0</v>
      </c>
      <c r="H17" s="174"/>
      <c r="I17" s="136"/>
    </row>
    <row r="18" spans="2:9" ht="12.6" customHeight="1" x14ac:dyDescent="0.2">
      <c r="B18" s="134"/>
      <c r="D18" s="138" t="s">
        <v>70</v>
      </c>
      <c r="E18" s="178">
        <f>SUM(G16:G17)</f>
        <v>0</v>
      </c>
      <c r="F18" s="178"/>
      <c r="G18" s="176">
        <f>ROUND(IF(G20&gt;G15*0.8,G15*0.8,G20),0)</f>
        <v>0</v>
      </c>
      <c r="H18" s="174"/>
      <c r="I18" s="136"/>
    </row>
    <row r="19" spans="2:9" ht="12.6" customHeight="1" x14ac:dyDescent="0.2">
      <c r="B19" s="134"/>
      <c r="D19" s="213" t="s">
        <v>85</v>
      </c>
      <c r="E19" s="213"/>
      <c r="F19" s="213"/>
      <c r="G19" s="214" t="s">
        <v>79</v>
      </c>
      <c r="H19" s="181"/>
      <c r="I19" s="136"/>
    </row>
    <row r="20" spans="2:9" ht="12.6" customHeight="1" x14ac:dyDescent="0.2">
      <c r="B20" s="134"/>
      <c r="C20" s="137"/>
      <c r="D20" s="137"/>
      <c r="E20" s="137"/>
      <c r="F20" s="137"/>
      <c r="G20" s="179">
        <f>ROUND(IF((E16*G16+E17*G17-tab!$D$23*G15)&lt;0,0,E16*G16+E17*G17-tab!$D$23*G15),0)</f>
        <v>0</v>
      </c>
      <c r="H20" s="137"/>
      <c r="I20" s="136"/>
    </row>
    <row r="21" spans="2:9" ht="12.6" customHeight="1" x14ac:dyDescent="0.2">
      <c r="B21" s="134"/>
      <c r="C21" s="137"/>
      <c r="D21" s="160" t="s">
        <v>112</v>
      </c>
      <c r="E21" s="137"/>
      <c r="F21" s="137"/>
      <c r="G21" s="137"/>
      <c r="H21" s="137"/>
      <c r="I21" s="136"/>
    </row>
    <row r="22" spans="2:9" ht="12.6" customHeight="1" x14ac:dyDescent="0.2">
      <c r="B22" s="134"/>
      <c r="C22" s="137"/>
      <c r="D22" s="137" t="s">
        <v>126</v>
      </c>
      <c r="E22" s="137"/>
      <c r="F22" s="137"/>
      <c r="G22" s="180">
        <f>ROUND(tab!$D$53*G13+tab!$D$54*G14+tab!$D$55*G18+IF(tab!$D$56-G15*tab!$D$57&lt;0,0,tab!$D$56-G15*tab!$D$57),0)</f>
        <v>2</v>
      </c>
      <c r="H22" s="137"/>
      <c r="I22" s="136"/>
    </row>
    <row r="23" spans="2:9" ht="12.6" customHeight="1" x14ac:dyDescent="0.2">
      <c r="B23" s="134"/>
      <c r="C23" s="137"/>
      <c r="D23" s="137" t="s">
        <v>129</v>
      </c>
      <c r="E23" s="137"/>
      <c r="F23" s="137"/>
      <c r="G23" s="231">
        <f>FLOOR(G15*1.03,1)</f>
        <v>14</v>
      </c>
      <c r="H23" s="137"/>
      <c r="I23" s="136"/>
    </row>
    <row r="24" spans="2:9" ht="12.6" customHeight="1" x14ac:dyDescent="0.2">
      <c r="B24" s="134"/>
      <c r="C24" s="137"/>
      <c r="D24" s="137"/>
      <c r="E24" s="137"/>
      <c r="F24" s="137"/>
      <c r="G24" s="137"/>
      <c r="H24" s="137"/>
      <c r="I24" s="136"/>
    </row>
    <row r="25" spans="2:9" ht="12.6" customHeight="1" x14ac:dyDescent="0.2">
      <c r="B25" s="134"/>
      <c r="C25" s="137"/>
      <c r="D25" s="137" t="s">
        <v>310</v>
      </c>
      <c r="E25" s="137"/>
      <c r="F25" s="137"/>
      <c r="G25" s="219">
        <f>VLOOKUP(G22,tab!C62:D91,2,FALSE)+G23*tab!H55</f>
        <v>29562.22</v>
      </c>
      <c r="H25" s="137"/>
      <c r="I25" s="136"/>
    </row>
    <row r="26" spans="2:9" ht="12.6" customHeight="1" x14ac:dyDescent="0.2">
      <c r="B26" s="134"/>
      <c r="C26" s="137"/>
      <c r="D26" s="137" t="s">
        <v>311</v>
      </c>
      <c r="E26" s="137"/>
      <c r="F26" s="137"/>
      <c r="G26" s="238">
        <v>0</v>
      </c>
      <c r="H26" s="137"/>
      <c r="I26" s="136"/>
    </row>
    <row r="27" spans="2:9" ht="12.6" customHeight="1" x14ac:dyDescent="0.2">
      <c r="B27" s="134"/>
      <c r="C27" s="137"/>
      <c r="D27" s="137" t="s">
        <v>135</v>
      </c>
      <c r="E27" s="137"/>
      <c r="F27" s="137"/>
      <c r="G27" s="219">
        <f>G13*(tab!D25+tab!D26*G11)+G14*(tab!D27+tab!D28*G11)+G15*tab!F55+G18*(tab!D29+tab!D30*G11+tab!F56)</f>
        <v>55683.58</v>
      </c>
      <c r="H27" s="137"/>
      <c r="I27" s="136"/>
    </row>
    <row r="28" spans="2:9" ht="12.6" customHeight="1" x14ac:dyDescent="0.2">
      <c r="B28" s="134"/>
      <c r="C28" s="137"/>
      <c r="D28" s="137"/>
      <c r="E28" s="137"/>
      <c r="F28" s="137"/>
      <c r="G28" s="137"/>
      <c r="H28" s="137"/>
      <c r="I28" s="136"/>
    </row>
    <row r="29" spans="2:9" ht="12.6" customHeight="1" x14ac:dyDescent="0.2">
      <c r="B29" s="134"/>
      <c r="C29" s="137"/>
      <c r="D29" s="217" t="s">
        <v>131</v>
      </c>
      <c r="E29" s="137"/>
      <c r="F29" s="137"/>
      <c r="G29" s="218">
        <f>G25-G26+G27</f>
        <v>85245.8</v>
      </c>
      <c r="H29" s="137"/>
      <c r="I29" s="136"/>
    </row>
    <row r="30" spans="2:9" ht="12.6" customHeight="1" x14ac:dyDescent="0.2">
      <c r="B30" s="134"/>
      <c r="C30" s="137"/>
      <c r="D30" s="137"/>
      <c r="E30" s="137"/>
      <c r="F30" s="137"/>
      <c r="G30" s="137"/>
      <c r="H30" s="137"/>
      <c r="I30" s="136"/>
    </row>
    <row r="31" spans="2:9" ht="12.6" customHeight="1" x14ac:dyDescent="0.2">
      <c r="B31" s="134"/>
      <c r="C31" s="215"/>
      <c r="D31" s="216"/>
      <c r="E31" s="216"/>
      <c r="F31" s="216"/>
      <c r="G31" s="216"/>
      <c r="H31" s="216"/>
      <c r="I31" s="182"/>
    </row>
    <row r="32" spans="2:9" ht="12.6" customHeight="1" x14ac:dyDescent="0.2">
      <c r="B32" s="134"/>
      <c r="I32" s="136"/>
    </row>
    <row r="33" spans="2:9" ht="12.6" customHeight="1" x14ac:dyDescent="0.2">
      <c r="B33" s="134"/>
      <c r="D33" s="261" t="s">
        <v>285</v>
      </c>
      <c r="I33" s="136"/>
    </row>
    <row r="34" spans="2:9" ht="12.6" customHeight="1" x14ac:dyDescent="0.2">
      <c r="B34" s="134"/>
      <c r="D34" s="261" t="s">
        <v>286</v>
      </c>
      <c r="I34" s="136"/>
    </row>
    <row r="35" spans="2:9" ht="12.6" customHeight="1" x14ac:dyDescent="0.2">
      <c r="B35" s="134"/>
      <c r="D35" s="129"/>
      <c r="I35" s="136"/>
    </row>
    <row r="36" spans="2:9" ht="12.6" customHeight="1" x14ac:dyDescent="0.2">
      <c r="B36" s="134"/>
      <c r="D36" s="211" t="s">
        <v>139</v>
      </c>
      <c r="I36" s="136"/>
    </row>
    <row r="37" spans="2:9" ht="12.6" customHeight="1" x14ac:dyDescent="0.2">
      <c r="B37" s="134"/>
      <c r="D37" s="220" t="s">
        <v>161</v>
      </c>
      <c r="I37" s="136"/>
    </row>
    <row r="38" spans="2:9" ht="12.6" customHeight="1" x14ac:dyDescent="0.2">
      <c r="B38" s="134"/>
      <c r="D38" s="185"/>
      <c r="I38" s="136"/>
    </row>
    <row r="39" spans="2:9" ht="12.6" customHeight="1" x14ac:dyDescent="0.2">
      <c r="B39" s="134"/>
      <c r="D39" s="211" t="s">
        <v>137</v>
      </c>
      <c r="E39" s="183"/>
      <c r="F39" s="183"/>
      <c r="I39" s="136"/>
    </row>
    <row r="40" spans="2:9" ht="12.6" customHeight="1" x14ac:dyDescent="0.2">
      <c r="B40" s="134"/>
      <c r="D40" s="211" t="s">
        <v>136</v>
      </c>
      <c r="E40" s="183"/>
      <c r="F40" s="183"/>
      <c r="I40" s="136"/>
    </row>
    <row r="41" spans="2:9" ht="12.6" customHeight="1" x14ac:dyDescent="0.2">
      <c r="B41" s="134"/>
      <c r="D41" s="220" t="s">
        <v>162</v>
      </c>
      <c r="E41" s="183"/>
      <c r="F41" s="183"/>
      <c r="I41" s="136"/>
    </row>
    <row r="42" spans="2:9" ht="12.6" customHeight="1" x14ac:dyDescent="0.2">
      <c r="B42" s="134"/>
      <c r="D42" s="185"/>
      <c r="E42" s="183"/>
      <c r="F42" s="183"/>
      <c r="I42" s="136"/>
    </row>
    <row r="43" spans="2:9" ht="12.6" customHeight="1" x14ac:dyDescent="0.2">
      <c r="B43" s="134"/>
      <c r="D43" s="211" t="s">
        <v>138</v>
      </c>
      <c r="E43" s="183"/>
      <c r="F43" s="183"/>
      <c r="I43" s="136"/>
    </row>
    <row r="44" spans="2:9" ht="12.6" customHeight="1" x14ac:dyDescent="0.2">
      <c r="B44" s="134"/>
      <c r="D44" s="220" t="s">
        <v>153</v>
      </c>
      <c r="E44" s="183"/>
      <c r="F44" s="183"/>
      <c r="I44" s="136"/>
    </row>
    <row r="45" spans="2:9" ht="12.6" customHeight="1" x14ac:dyDescent="0.2">
      <c r="B45" s="134"/>
      <c r="D45" s="185"/>
      <c r="E45" s="183"/>
      <c r="F45" s="183"/>
      <c r="I45" s="136"/>
    </row>
    <row r="46" spans="2:9" ht="12.6" customHeight="1" x14ac:dyDescent="0.2">
      <c r="B46" s="134"/>
      <c r="D46" s="211" t="s">
        <v>140</v>
      </c>
      <c r="E46" s="183"/>
      <c r="F46" s="183"/>
      <c r="I46" s="136"/>
    </row>
    <row r="47" spans="2:9" ht="12.6" customHeight="1" x14ac:dyDescent="0.2">
      <c r="B47" s="134"/>
      <c r="D47" s="211" t="s">
        <v>141</v>
      </c>
      <c r="G47" s="184"/>
      <c r="H47" s="184"/>
      <c r="I47" s="136"/>
    </row>
    <row r="48" spans="2:9" ht="12.6" customHeight="1" x14ac:dyDescent="0.2">
      <c r="B48" s="134"/>
      <c r="D48" s="211" t="s">
        <v>142</v>
      </c>
      <c r="E48" s="185"/>
      <c r="F48" s="185"/>
      <c r="G48" s="186"/>
      <c r="H48" s="186"/>
      <c r="I48" s="136"/>
    </row>
    <row r="49" spans="2:9" ht="12.6" customHeight="1" x14ac:dyDescent="0.2">
      <c r="B49" s="134"/>
      <c r="D49" s="211" t="s">
        <v>143</v>
      </c>
      <c r="E49" s="185"/>
      <c r="F49" s="185"/>
      <c r="G49" s="186"/>
      <c r="H49" s="186"/>
      <c r="I49" s="136"/>
    </row>
    <row r="50" spans="2:9" ht="12.6" customHeight="1" x14ac:dyDescent="0.2">
      <c r="B50" s="134"/>
      <c r="D50" s="220" t="s">
        <v>165</v>
      </c>
      <c r="E50" s="185"/>
      <c r="F50" s="185"/>
      <c r="G50" s="186"/>
      <c r="H50" s="186"/>
      <c r="I50" s="136"/>
    </row>
    <row r="51" spans="2:9" ht="12.6" customHeight="1" x14ac:dyDescent="0.2">
      <c r="B51" s="134"/>
      <c r="D51" s="185"/>
      <c r="E51" s="185"/>
      <c r="F51" s="185"/>
      <c r="G51" s="186"/>
      <c r="H51" s="186"/>
      <c r="I51" s="136"/>
    </row>
    <row r="52" spans="2:9" s="150" customFormat="1" ht="12.6" customHeight="1" x14ac:dyDescent="0.2">
      <c r="B52" s="145"/>
      <c r="D52" s="211" t="s">
        <v>144</v>
      </c>
      <c r="E52" s="183"/>
      <c r="F52" s="183"/>
      <c r="H52" s="187"/>
      <c r="I52" s="188"/>
    </row>
    <row r="53" spans="2:9" ht="12.6" customHeight="1" x14ac:dyDescent="0.2">
      <c r="B53" s="134"/>
      <c r="D53" s="211" t="s">
        <v>145</v>
      </c>
      <c r="E53" s="150"/>
      <c r="F53" s="150"/>
      <c r="I53" s="136"/>
    </row>
    <row r="54" spans="2:9" ht="12.6" customHeight="1" x14ac:dyDescent="0.2">
      <c r="B54" s="134"/>
      <c r="D54" s="211" t="s">
        <v>146</v>
      </c>
      <c r="I54" s="136"/>
    </row>
    <row r="55" spans="2:9" ht="12.6" customHeight="1" x14ac:dyDescent="0.2">
      <c r="B55" s="134"/>
      <c r="D55" s="211" t="s">
        <v>147</v>
      </c>
      <c r="E55" s="150"/>
      <c r="F55" s="150"/>
      <c r="I55" s="136"/>
    </row>
    <row r="56" spans="2:9" ht="12.6" customHeight="1" x14ac:dyDescent="0.2">
      <c r="B56" s="134"/>
      <c r="D56" s="211" t="s">
        <v>148</v>
      </c>
      <c r="I56" s="136"/>
    </row>
    <row r="57" spans="2:9" ht="12.6" customHeight="1" x14ac:dyDescent="0.2">
      <c r="B57" s="134"/>
      <c r="D57" s="220" t="s">
        <v>164</v>
      </c>
      <c r="I57" s="136"/>
    </row>
    <row r="58" spans="2:9" ht="12.6" customHeight="1" x14ac:dyDescent="0.2">
      <c r="B58" s="134"/>
      <c r="D58" s="185"/>
      <c r="I58" s="136"/>
    </row>
    <row r="59" spans="2:9" ht="12.6" customHeight="1" x14ac:dyDescent="0.2">
      <c r="B59" s="134"/>
      <c r="D59" s="211" t="s">
        <v>149</v>
      </c>
      <c r="I59" s="136"/>
    </row>
    <row r="60" spans="2:9" ht="12.6" customHeight="1" x14ac:dyDescent="0.2">
      <c r="B60" s="134"/>
      <c r="D60" s="211" t="s">
        <v>150</v>
      </c>
      <c r="I60" s="136"/>
    </row>
    <row r="61" spans="2:9" ht="12.6" customHeight="1" x14ac:dyDescent="0.2">
      <c r="B61" s="134"/>
      <c r="D61" s="220" t="s">
        <v>163</v>
      </c>
      <c r="I61" s="136"/>
    </row>
    <row r="62" spans="2:9" ht="12.6" customHeight="1" x14ac:dyDescent="0.2">
      <c r="B62" s="134"/>
      <c r="C62" s="210"/>
      <c r="I62" s="136"/>
    </row>
    <row r="63" spans="2:9" ht="12.6" customHeight="1" x14ac:dyDescent="0.2">
      <c r="B63" s="134"/>
      <c r="C63" s="212"/>
      <c r="D63" s="135"/>
      <c r="E63" s="135"/>
      <c r="F63" s="135"/>
      <c r="G63" s="135"/>
      <c r="H63" s="135"/>
      <c r="I63" s="136"/>
    </row>
    <row r="64" spans="2:9" ht="12.6" customHeight="1" x14ac:dyDescent="0.2">
      <c r="B64" s="139"/>
      <c r="C64" s="140"/>
      <c r="D64" s="140"/>
      <c r="E64" s="140"/>
      <c r="F64" s="140"/>
      <c r="G64" s="140"/>
      <c r="H64" s="140"/>
      <c r="I64" s="141"/>
    </row>
    <row r="65" spans="5:7" ht="12.6" customHeight="1" x14ac:dyDescent="0.2"/>
    <row r="66" spans="5:7" ht="12.6" customHeight="1" x14ac:dyDescent="0.2"/>
    <row r="67" spans="5:7" ht="12.6" customHeight="1" x14ac:dyDescent="0.2"/>
    <row r="68" spans="5:7" ht="12.6" customHeight="1" x14ac:dyDescent="0.2"/>
    <row r="69" spans="5:7" ht="12.6" customHeight="1" x14ac:dyDescent="0.2"/>
    <row r="70" spans="5:7" ht="12.6" customHeight="1" x14ac:dyDescent="0.2"/>
    <row r="71" spans="5:7" ht="12.6" customHeight="1" x14ac:dyDescent="0.2"/>
    <row r="72" spans="5:7" ht="12.6" customHeight="1" x14ac:dyDescent="0.2">
      <c r="E72" s="189"/>
      <c r="F72" s="189"/>
      <c r="G72" s="150"/>
    </row>
    <row r="73" spans="5:7" ht="12.6" customHeight="1" x14ac:dyDescent="0.2"/>
    <row r="74" spans="5:7" ht="12.6" customHeight="1" x14ac:dyDescent="0.2"/>
    <row r="75" spans="5:7" ht="12.6" customHeight="1" x14ac:dyDescent="0.2"/>
    <row r="76" spans="5:7" ht="12.6" customHeight="1" x14ac:dyDescent="0.2"/>
    <row r="77" spans="5:7" ht="12.6" customHeight="1" x14ac:dyDescent="0.2">
      <c r="G77" s="190"/>
    </row>
    <row r="78" spans="5:7" ht="12.6" customHeight="1" x14ac:dyDescent="0.2">
      <c r="G78" s="191"/>
    </row>
    <row r="79" spans="5:7" ht="12.6" customHeight="1" x14ac:dyDescent="0.2">
      <c r="G79" s="191"/>
    </row>
    <row r="80" spans="5:7" ht="12.6" customHeight="1" x14ac:dyDescent="0.2">
      <c r="G80" s="191"/>
    </row>
    <row r="81" spans="7:8" ht="12.6" customHeight="1" x14ac:dyDescent="0.2"/>
    <row r="82" spans="7:8" ht="12.6" customHeight="1" x14ac:dyDescent="0.2"/>
    <row r="83" spans="7:8" ht="12.6" customHeight="1" x14ac:dyDescent="0.2"/>
    <row r="84" spans="7:8" ht="12.6" customHeight="1" x14ac:dyDescent="0.2"/>
    <row r="85" spans="7:8" ht="12.6" customHeight="1" x14ac:dyDescent="0.2"/>
    <row r="86" spans="7:8" ht="12.6" customHeight="1" x14ac:dyDescent="0.2"/>
    <row r="87" spans="7:8" ht="12.6" customHeight="1" x14ac:dyDescent="0.2"/>
    <row r="88" spans="7:8" ht="12.6" customHeight="1" x14ac:dyDescent="0.2"/>
    <row r="89" spans="7:8" ht="12.6" customHeight="1" x14ac:dyDescent="0.2"/>
    <row r="90" spans="7:8" ht="12.6" customHeight="1" x14ac:dyDescent="0.2"/>
    <row r="91" spans="7:8" ht="12.6" customHeight="1" x14ac:dyDescent="0.2">
      <c r="G91" s="158"/>
      <c r="H91" s="158"/>
    </row>
    <row r="92" spans="7:8" ht="12.6" customHeight="1" x14ac:dyDescent="0.2"/>
    <row r="93" spans="7:8" ht="12.6" customHeight="1" x14ac:dyDescent="0.2"/>
    <row r="94" spans="7:8" ht="12.6" customHeight="1" x14ac:dyDescent="0.2"/>
    <row r="95" spans="7:8" ht="12.6" customHeight="1" x14ac:dyDescent="0.2"/>
    <row r="96" spans="7:8" ht="12.6" customHeight="1" x14ac:dyDescent="0.2"/>
    <row r="97" spans="5:8" s="192" customFormat="1" ht="12.6" customHeight="1" x14ac:dyDescent="0.2">
      <c r="E97" s="142"/>
      <c r="F97" s="142"/>
      <c r="G97" s="142"/>
      <c r="H97" s="142"/>
    </row>
    <row r="98" spans="5:8" ht="12.6" customHeight="1" x14ac:dyDescent="0.2"/>
    <row r="99" spans="5:8" ht="12.6" customHeight="1" x14ac:dyDescent="0.2"/>
    <row r="100" spans="5:8" ht="12.6" customHeight="1" x14ac:dyDescent="0.2"/>
    <row r="101" spans="5:8" s="150" customFormat="1" ht="12.6" customHeight="1" x14ac:dyDescent="0.2">
      <c r="E101" s="237"/>
      <c r="F101" s="237"/>
      <c r="G101" s="237"/>
      <c r="H101" s="142"/>
    </row>
    <row r="102" spans="5:8" ht="12.6" customHeight="1" x14ac:dyDescent="0.2"/>
    <row r="103" spans="5:8" ht="12.6" customHeight="1" x14ac:dyDescent="0.2"/>
    <row r="104" spans="5:8" ht="12.6" customHeight="1" x14ac:dyDescent="0.2"/>
    <row r="105" spans="5:8" ht="12.6" customHeight="1" x14ac:dyDescent="0.2"/>
    <row r="106" spans="5:8" ht="12.6" customHeight="1" x14ac:dyDescent="0.2"/>
    <row r="107" spans="5:8" ht="12.6" customHeight="1" x14ac:dyDescent="0.2"/>
    <row r="108" spans="5:8" s="150" customFormat="1" ht="12.6" customHeight="1" x14ac:dyDescent="0.2">
      <c r="E108" s="142"/>
      <c r="F108" s="142"/>
      <c r="G108" s="142"/>
      <c r="H108" s="142"/>
    </row>
    <row r="109" spans="5:8" ht="12.6" customHeight="1" x14ac:dyDescent="0.2"/>
    <row r="110" spans="5:8" ht="12.6" customHeight="1" x14ac:dyDescent="0.2"/>
    <row r="111" spans="5:8" s="167" customFormat="1" ht="12.6" customHeight="1" x14ac:dyDescent="0.2">
      <c r="E111" s="142"/>
      <c r="F111" s="142"/>
      <c r="G111" s="142"/>
      <c r="H111" s="142"/>
    </row>
    <row r="112" spans="5:8" ht="12.6" customHeight="1" x14ac:dyDescent="0.2"/>
    <row r="113" spans="4:7" ht="12.6" customHeight="1" x14ac:dyDescent="0.2"/>
    <row r="114" spans="4:7" ht="12.6" customHeight="1" x14ac:dyDescent="0.2"/>
    <row r="115" spans="4:7" ht="12.6" customHeight="1" x14ac:dyDescent="0.2">
      <c r="D115" s="150"/>
    </row>
    <row r="116" spans="4:7" ht="12.6" customHeight="1" x14ac:dyDescent="0.2"/>
    <row r="117" spans="4:7" ht="12.6" customHeight="1" x14ac:dyDescent="0.2">
      <c r="E117" s="237"/>
      <c r="F117" s="237"/>
      <c r="G117" s="237"/>
    </row>
    <row r="118" spans="4:7" ht="12.6" customHeight="1" x14ac:dyDescent="0.2"/>
    <row r="119" spans="4:7" ht="12.6" customHeight="1" x14ac:dyDescent="0.2"/>
    <row r="120" spans="4:7" ht="12.6" customHeight="1" x14ac:dyDescent="0.2"/>
    <row r="121" spans="4:7" ht="12.6" customHeight="1" x14ac:dyDescent="0.2"/>
    <row r="122" spans="4:7" ht="12.6" customHeight="1" x14ac:dyDescent="0.2"/>
    <row r="123" spans="4:7" ht="12.6" customHeight="1" x14ac:dyDescent="0.2"/>
    <row r="124" spans="4:7" ht="12.75" customHeight="1" x14ac:dyDescent="0.2"/>
    <row r="125" spans="4:7" ht="12.75" customHeight="1" x14ac:dyDescent="0.2"/>
    <row r="126" spans="4:7" ht="12.75" customHeight="1" x14ac:dyDescent="0.2"/>
    <row r="127" spans="4:7" ht="12.75" customHeight="1" x14ac:dyDescent="0.2"/>
    <row r="128" spans="4:7" ht="12.75" customHeight="1" x14ac:dyDescent="0.2"/>
    <row r="129" spans="5:43" ht="12.75" customHeight="1" x14ac:dyDescent="0.2"/>
    <row r="130" spans="5:43" ht="12.75" customHeight="1" x14ac:dyDescent="0.2"/>
    <row r="131" spans="5:43" ht="12.75" customHeight="1" x14ac:dyDescent="0.2">
      <c r="AB131" s="150"/>
    </row>
    <row r="132" spans="5:43" ht="12.75" customHeight="1" x14ac:dyDescent="0.2"/>
    <row r="133" spans="5:43" s="150" customFormat="1" ht="29.25" customHeight="1" x14ac:dyDescent="0.2">
      <c r="E133" s="237"/>
      <c r="F133" s="237"/>
      <c r="G133" s="237"/>
      <c r="H133" s="142"/>
      <c r="AB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</row>
    <row r="134" spans="5:43" s="150" customFormat="1" x14ac:dyDescent="0.2">
      <c r="E134" s="142"/>
      <c r="F134" s="142"/>
      <c r="AB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</row>
    <row r="135" spans="5:43" x14ac:dyDescent="0.2">
      <c r="H135" s="191"/>
    </row>
    <row r="136" spans="5:43" x14ac:dyDescent="0.2">
      <c r="H136" s="191"/>
    </row>
    <row r="137" spans="5:43" x14ac:dyDescent="0.2">
      <c r="H137" s="191"/>
    </row>
    <row r="138" spans="5:43" x14ac:dyDescent="0.2">
      <c r="H138" s="191"/>
    </row>
    <row r="139" spans="5:43" s="150" customFormat="1" x14ac:dyDescent="0.2">
      <c r="H139" s="190"/>
    </row>
    <row r="141" spans="5:43" x14ac:dyDescent="0.2">
      <c r="I141" s="150"/>
      <c r="K141" s="149"/>
      <c r="M141" s="193"/>
      <c r="N141" s="193"/>
      <c r="O141" s="190"/>
    </row>
    <row r="142" spans="5:43" x14ac:dyDescent="0.2">
      <c r="I142" s="150"/>
      <c r="K142" s="149"/>
      <c r="M142" s="193"/>
      <c r="N142" s="193"/>
      <c r="O142" s="190"/>
    </row>
    <row r="143" spans="5:43" x14ac:dyDescent="0.2">
      <c r="I143" s="150"/>
      <c r="K143" s="149"/>
      <c r="M143" s="193"/>
      <c r="N143" s="193"/>
      <c r="O143" s="190"/>
    </row>
    <row r="144" spans="5:43" x14ac:dyDescent="0.2">
      <c r="I144" s="150"/>
      <c r="K144" s="149"/>
      <c r="M144" s="193"/>
      <c r="N144" s="193"/>
      <c r="O144" s="190"/>
    </row>
    <row r="145" spans="5:15" x14ac:dyDescent="0.2">
      <c r="I145" s="150"/>
      <c r="K145" s="149"/>
      <c r="M145" s="193"/>
      <c r="N145" s="193"/>
      <c r="O145" s="190"/>
    </row>
    <row r="146" spans="5:15" x14ac:dyDescent="0.2">
      <c r="I146" s="150"/>
      <c r="K146" s="149"/>
      <c r="M146" s="193"/>
      <c r="N146" s="193"/>
      <c r="O146" s="190"/>
    </row>
    <row r="147" spans="5:15" x14ac:dyDescent="0.2">
      <c r="I147" s="150"/>
      <c r="K147" s="149"/>
      <c r="M147" s="193"/>
      <c r="N147" s="193"/>
      <c r="O147" s="190"/>
    </row>
    <row r="148" spans="5:15" x14ac:dyDescent="0.2">
      <c r="E148" s="150"/>
      <c r="F148" s="150"/>
      <c r="G148" s="150"/>
      <c r="H148" s="150"/>
      <c r="I148" s="150"/>
      <c r="K148" s="149"/>
      <c r="M148" s="193"/>
      <c r="N148" s="193"/>
      <c r="O148" s="190"/>
    </row>
    <row r="149" spans="5:15" x14ac:dyDescent="0.2">
      <c r="H149" s="150"/>
      <c r="I149" s="150"/>
      <c r="K149" s="149"/>
      <c r="M149" s="193"/>
      <c r="N149" s="193"/>
      <c r="O149" s="190"/>
    </row>
    <row r="150" spans="5:15" x14ac:dyDescent="0.2">
      <c r="H150" s="150"/>
      <c r="I150" s="150"/>
      <c r="K150" s="149"/>
      <c r="M150" s="193"/>
      <c r="N150" s="193"/>
      <c r="O150" s="190"/>
    </row>
    <row r="151" spans="5:15" x14ac:dyDescent="0.2">
      <c r="E151" s="150"/>
      <c r="F151" s="150"/>
      <c r="G151" s="150"/>
      <c r="H151" s="150"/>
      <c r="I151" s="150"/>
      <c r="K151" s="149"/>
      <c r="M151" s="193"/>
      <c r="N151" s="193"/>
      <c r="O151" s="190"/>
    </row>
    <row r="152" spans="5:15" s="192" customFormat="1" x14ac:dyDescent="0.2">
      <c r="E152" s="194"/>
      <c r="F152" s="194"/>
      <c r="G152" s="194"/>
      <c r="H152" s="194"/>
      <c r="K152" s="195"/>
      <c r="M152" s="196"/>
      <c r="N152" s="196"/>
      <c r="O152" s="197"/>
    </row>
    <row r="153" spans="5:15" x14ac:dyDescent="0.2">
      <c r="I153" s="150"/>
      <c r="K153" s="149"/>
      <c r="M153" s="193"/>
      <c r="N153" s="193"/>
      <c r="O153" s="190"/>
    </row>
    <row r="154" spans="5:15" x14ac:dyDescent="0.2">
      <c r="I154" s="150"/>
      <c r="K154" s="149"/>
      <c r="M154" s="193"/>
      <c r="N154" s="193"/>
      <c r="O154" s="190"/>
    </row>
    <row r="155" spans="5:15" x14ac:dyDescent="0.2">
      <c r="I155" s="150"/>
      <c r="K155" s="149"/>
      <c r="M155" s="193"/>
      <c r="N155" s="193"/>
      <c r="O155" s="190"/>
    </row>
    <row r="156" spans="5:15" s="150" customFormat="1" x14ac:dyDescent="0.2">
      <c r="K156" s="149"/>
      <c r="M156" s="199"/>
      <c r="N156" s="199"/>
      <c r="O156" s="190"/>
    </row>
    <row r="157" spans="5:15" x14ac:dyDescent="0.2">
      <c r="G157" s="200"/>
      <c r="I157" s="150"/>
      <c r="K157" s="149"/>
      <c r="M157" s="193"/>
      <c r="N157" s="193"/>
      <c r="O157" s="190"/>
    </row>
    <row r="158" spans="5:15" x14ac:dyDescent="0.2">
      <c r="G158" s="200"/>
      <c r="I158" s="150"/>
      <c r="K158" s="149"/>
      <c r="M158" s="193"/>
      <c r="N158" s="193"/>
      <c r="O158" s="190"/>
    </row>
    <row r="159" spans="5:15" s="150" customFormat="1" x14ac:dyDescent="0.2">
      <c r="G159" s="201"/>
      <c r="K159" s="149"/>
      <c r="M159" s="199"/>
      <c r="N159" s="199"/>
      <c r="O159" s="190"/>
    </row>
    <row r="160" spans="5:15" x14ac:dyDescent="0.2">
      <c r="I160" s="150"/>
      <c r="K160" s="149"/>
      <c r="M160" s="193"/>
      <c r="N160" s="193"/>
      <c r="O160" s="190"/>
    </row>
    <row r="161" spans="4:15" x14ac:dyDescent="0.2">
      <c r="H161" s="202"/>
      <c r="I161" s="150"/>
      <c r="K161" s="149"/>
      <c r="M161" s="193"/>
      <c r="N161" s="193"/>
      <c r="O161" s="190"/>
    </row>
    <row r="162" spans="4:15" s="192" customFormat="1" x14ac:dyDescent="0.2">
      <c r="E162" s="194"/>
      <c r="F162" s="194"/>
      <c r="G162" s="194"/>
      <c r="H162" s="194"/>
      <c r="K162" s="195"/>
      <c r="M162" s="196"/>
      <c r="N162" s="196"/>
      <c r="O162" s="197"/>
    </row>
    <row r="163" spans="4:15" x14ac:dyDescent="0.2">
      <c r="I163" s="150"/>
      <c r="K163" s="149"/>
      <c r="M163" s="193"/>
      <c r="N163" s="193"/>
      <c r="O163" s="190"/>
    </row>
    <row r="164" spans="4:15" x14ac:dyDescent="0.2">
      <c r="I164" s="150"/>
      <c r="K164" s="149"/>
      <c r="M164" s="193"/>
      <c r="N164" s="193"/>
      <c r="O164" s="190"/>
    </row>
    <row r="165" spans="4:15" x14ac:dyDescent="0.2">
      <c r="I165" s="150"/>
      <c r="K165" s="149"/>
      <c r="M165" s="193"/>
      <c r="N165" s="193"/>
      <c r="O165" s="190"/>
    </row>
    <row r="166" spans="4:15" x14ac:dyDescent="0.2">
      <c r="D166" s="150"/>
      <c r="E166" s="150"/>
      <c r="F166" s="150"/>
      <c r="G166" s="150"/>
      <c r="H166" s="150"/>
      <c r="I166" s="150"/>
      <c r="K166" s="149"/>
      <c r="M166" s="193"/>
      <c r="N166" s="193"/>
      <c r="O166" s="190"/>
    </row>
    <row r="167" spans="4:15" x14ac:dyDescent="0.2">
      <c r="I167" s="150"/>
      <c r="K167" s="149"/>
      <c r="M167" s="193"/>
      <c r="N167" s="193"/>
      <c r="O167" s="190"/>
    </row>
    <row r="168" spans="4:15" s="192" customFormat="1" x14ac:dyDescent="0.2">
      <c r="E168" s="194"/>
      <c r="F168" s="194"/>
      <c r="G168" s="194"/>
      <c r="K168" s="195"/>
      <c r="M168" s="196"/>
      <c r="N168" s="196"/>
      <c r="O168" s="197"/>
    </row>
    <row r="169" spans="4:15" x14ac:dyDescent="0.2">
      <c r="I169" s="150"/>
      <c r="K169" s="149"/>
      <c r="M169" s="193"/>
      <c r="N169" s="193"/>
      <c r="O169" s="190"/>
    </row>
    <row r="170" spans="4:15" x14ac:dyDescent="0.2">
      <c r="I170" s="150"/>
      <c r="K170" s="149"/>
      <c r="M170" s="193"/>
      <c r="N170" s="193"/>
      <c r="O170" s="190"/>
    </row>
    <row r="171" spans="4:15" x14ac:dyDescent="0.2">
      <c r="I171" s="150"/>
      <c r="K171" s="149"/>
      <c r="M171" s="193"/>
      <c r="N171" s="193"/>
      <c r="O171" s="190"/>
    </row>
    <row r="172" spans="4:15" x14ac:dyDescent="0.2">
      <c r="I172" s="150"/>
      <c r="K172" s="149"/>
      <c r="M172" s="193"/>
      <c r="N172" s="193"/>
      <c r="O172" s="190"/>
    </row>
    <row r="173" spans="4:15" x14ac:dyDescent="0.2">
      <c r="I173" s="150"/>
      <c r="K173" s="149"/>
      <c r="M173" s="193"/>
      <c r="N173" s="193"/>
      <c r="O173" s="190"/>
    </row>
    <row r="174" spans="4:15" x14ac:dyDescent="0.2">
      <c r="I174" s="150"/>
      <c r="K174" s="149"/>
      <c r="M174" s="193"/>
      <c r="N174" s="193"/>
      <c r="O174" s="190"/>
    </row>
    <row r="175" spans="4:15" x14ac:dyDescent="0.2">
      <c r="I175" s="150"/>
      <c r="K175" s="149"/>
      <c r="M175" s="193"/>
      <c r="N175" s="193"/>
      <c r="O175" s="190"/>
    </row>
    <row r="176" spans="4:15" x14ac:dyDescent="0.2">
      <c r="I176" s="150"/>
      <c r="K176" s="149"/>
      <c r="M176" s="193"/>
      <c r="N176" s="193"/>
      <c r="O176" s="190"/>
    </row>
    <row r="177" spans="2:15" x14ac:dyDescent="0.2">
      <c r="I177" s="150"/>
      <c r="K177" s="149"/>
      <c r="M177" s="193"/>
      <c r="N177" s="193"/>
      <c r="O177" s="190"/>
    </row>
    <row r="178" spans="2:15" s="203" customFormat="1" ht="12.75" customHeight="1" x14ac:dyDescent="0.2">
      <c r="G178" s="150"/>
    </row>
    <row r="179" spans="2:15" x14ac:dyDescent="0.2">
      <c r="N179" s="193"/>
      <c r="O179" s="190"/>
    </row>
    <row r="180" spans="2:15" x14ac:dyDescent="0.2">
      <c r="N180" s="193"/>
      <c r="O180" s="190"/>
    </row>
    <row r="181" spans="2:15" x14ac:dyDescent="0.2">
      <c r="N181" s="193"/>
      <c r="O181" s="190"/>
    </row>
    <row r="182" spans="2:15" x14ac:dyDescent="0.2">
      <c r="I182" s="150"/>
      <c r="K182" s="149"/>
      <c r="M182" s="193"/>
      <c r="N182" s="193"/>
      <c r="O182" s="190"/>
    </row>
    <row r="183" spans="2:15" x14ac:dyDescent="0.2">
      <c r="E183" s="150"/>
      <c r="F183" s="150"/>
      <c r="G183" s="150"/>
      <c r="I183" s="150"/>
      <c r="K183" s="149"/>
      <c r="M183" s="193"/>
      <c r="N183" s="193"/>
      <c r="O183" s="190"/>
    </row>
    <row r="184" spans="2:15" x14ac:dyDescent="0.2">
      <c r="E184" s="204"/>
      <c r="F184" s="204"/>
      <c r="G184" s="204"/>
      <c r="H184" s="204"/>
    </row>
    <row r="185" spans="2:15" x14ac:dyDescent="0.2">
      <c r="E185" s="204"/>
      <c r="F185" s="204"/>
      <c r="G185" s="204"/>
      <c r="H185" s="204"/>
    </row>
    <row r="186" spans="2:15" x14ac:dyDescent="0.2">
      <c r="E186" s="204"/>
      <c r="F186" s="204"/>
      <c r="G186" s="204"/>
      <c r="H186" s="204"/>
    </row>
    <row r="187" spans="2:15" x14ac:dyDescent="0.2">
      <c r="E187" s="204"/>
      <c r="F187" s="204"/>
      <c r="G187" s="204"/>
      <c r="H187" s="204"/>
    </row>
    <row r="188" spans="2:15" x14ac:dyDescent="0.2">
      <c r="E188" s="204"/>
      <c r="F188" s="204"/>
      <c r="G188" s="204"/>
      <c r="H188" s="204"/>
    </row>
    <row r="189" spans="2:15" x14ac:dyDescent="0.2">
      <c r="E189" s="204"/>
      <c r="F189" s="204"/>
      <c r="G189" s="204"/>
      <c r="H189" s="204"/>
    </row>
    <row r="190" spans="2:15" x14ac:dyDescent="0.2">
      <c r="B190" s="205"/>
      <c r="C190" s="205"/>
      <c r="E190" s="204"/>
      <c r="F190" s="204"/>
      <c r="G190" s="204"/>
      <c r="H190" s="204"/>
    </row>
    <row r="191" spans="2:15" x14ac:dyDescent="0.2">
      <c r="B191" s="205"/>
      <c r="C191" s="205"/>
      <c r="E191" s="204"/>
      <c r="F191" s="204"/>
      <c r="G191" s="204"/>
      <c r="H191" s="204"/>
    </row>
    <row r="192" spans="2:15" x14ac:dyDescent="0.2">
      <c r="D192" s="150"/>
      <c r="E192" s="194"/>
      <c r="F192" s="194"/>
      <c r="G192" s="194"/>
      <c r="H192" s="194"/>
      <c r="I192" s="150"/>
    </row>
    <row r="193" spans="4:9" x14ac:dyDescent="0.2">
      <c r="E193" s="204"/>
      <c r="F193" s="204"/>
      <c r="G193" s="206"/>
      <c r="H193" s="204"/>
    </row>
    <row r="194" spans="4:9" x14ac:dyDescent="0.2">
      <c r="E194" s="204"/>
      <c r="F194" s="204"/>
      <c r="G194" s="206"/>
      <c r="H194" s="204"/>
    </row>
    <row r="195" spans="4:9" s="150" customFormat="1" x14ac:dyDescent="0.2">
      <c r="E195" s="194"/>
      <c r="F195" s="194"/>
      <c r="G195" s="207"/>
      <c r="H195" s="194"/>
    </row>
    <row r="196" spans="4:9" x14ac:dyDescent="0.2">
      <c r="E196" s="204"/>
      <c r="F196" s="204"/>
      <c r="G196" s="204"/>
      <c r="H196" s="204"/>
    </row>
    <row r="197" spans="4:9" x14ac:dyDescent="0.2">
      <c r="E197" s="204"/>
      <c r="F197" s="204"/>
      <c r="G197" s="204"/>
      <c r="H197" s="204"/>
    </row>
    <row r="198" spans="4:9" x14ac:dyDescent="0.2">
      <c r="E198" s="204"/>
      <c r="F198" s="204"/>
      <c r="G198" s="204"/>
      <c r="H198" s="204"/>
    </row>
    <row r="199" spans="4:9" x14ac:dyDescent="0.2">
      <c r="E199" s="204"/>
      <c r="F199" s="204"/>
      <c r="G199" s="204"/>
      <c r="H199" s="204"/>
    </row>
    <row r="200" spans="4:9" x14ac:dyDescent="0.2">
      <c r="E200" s="204"/>
      <c r="F200" s="204"/>
      <c r="G200" s="204"/>
      <c r="H200" s="204"/>
    </row>
    <row r="201" spans="4:9" x14ac:dyDescent="0.2">
      <c r="E201" s="204"/>
      <c r="F201" s="204"/>
      <c r="G201" s="204"/>
      <c r="H201" s="204"/>
    </row>
    <row r="202" spans="4:9" x14ac:dyDescent="0.2">
      <c r="E202" s="204"/>
      <c r="F202" s="204"/>
      <c r="G202" s="204"/>
      <c r="H202" s="204"/>
    </row>
    <row r="203" spans="4:9" x14ac:dyDescent="0.2">
      <c r="D203" s="150"/>
      <c r="E203" s="194"/>
      <c r="F203" s="194"/>
      <c r="G203" s="194"/>
      <c r="H203" s="204"/>
      <c r="I203" s="150"/>
    </row>
    <row r="204" spans="4:9" x14ac:dyDescent="0.2">
      <c r="E204" s="204"/>
      <c r="F204" s="204"/>
      <c r="G204" s="204"/>
      <c r="H204" s="204"/>
    </row>
    <row r="205" spans="4:9" x14ac:dyDescent="0.2">
      <c r="E205" s="208"/>
      <c r="F205" s="208"/>
      <c r="G205" s="208"/>
      <c r="H205" s="208"/>
    </row>
  </sheetData>
  <sheetProtection algorithmName="SHA-512" hashValue="5yHJ+wUI7EM8TPdV0WZrWOH1YVKS+Di8QEdOkYncJUjuEd+nOpbvnXWvkWT+CDna0O7Y7Jxp6q8i1O0Gnw5MzA==" saltValue="XRbmiUQ73eXkw41bE15AEg==" spinCount="100000" sheet="1" objects="1" scenarios="1"/>
  <dataValidations count="1">
    <dataValidation type="list" allowBlank="1" showInputMessage="1" showErrorMessage="1" sqref="G19">
      <formula1>"ja,nee"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&amp;L&amp;"Arial,Vet"Opheffing school&amp;C&amp;"Arial,Vet"&amp;F&amp;R&amp;"Arial,Vet"&amp;D</oddHeader>
    <oddFooter>&amp;L&amp;"Arial,Vet"PO-Raad&amp;R&amp;"Arial,Vet"&amp;P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Q32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3.140625" style="267" customWidth="1"/>
    <col min="2" max="3" width="2.7109375" style="267" customWidth="1"/>
    <col min="4" max="4" width="56" style="267" customWidth="1"/>
    <col min="5" max="5" width="3.7109375" style="267" customWidth="1"/>
    <col min="6" max="6" width="16.28515625" style="267" bestFit="1" customWidth="1"/>
    <col min="7" max="8" width="3" style="267" customWidth="1"/>
    <col min="9" max="9" width="5" style="267" customWidth="1"/>
    <col min="10" max="10" width="14" style="267" bestFit="1" customWidth="1"/>
    <col min="11" max="11" width="2.7109375" style="267" customWidth="1"/>
    <col min="12" max="16384" width="9.140625" style="267"/>
  </cols>
  <sheetData>
    <row r="1" spans="2:17" x14ac:dyDescent="0.2">
      <c r="P1" s="142"/>
      <c r="Q1" s="142"/>
    </row>
    <row r="2" spans="2:17" s="142" customFormat="1" ht="12.6" customHeight="1" x14ac:dyDescent="0.2">
      <c r="B2" s="131"/>
      <c r="C2" s="132"/>
      <c r="D2" s="132"/>
      <c r="E2" s="132"/>
      <c r="F2" s="132"/>
      <c r="G2" s="132"/>
      <c r="H2" s="133"/>
      <c r="N2" s="158"/>
    </row>
    <row r="3" spans="2:17" s="142" customFormat="1" ht="12.6" customHeight="1" x14ac:dyDescent="0.2">
      <c r="B3" s="134"/>
      <c r="C3" s="135"/>
      <c r="D3" s="135"/>
      <c r="E3" s="135"/>
      <c r="F3" s="135"/>
      <c r="G3" s="135"/>
      <c r="H3" s="136"/>
      <c r="N3" s="158"/>
    </row>
    <row r="4" spans="2:17" s="382" customFormat="1" ht="18" customHeight="1" x14ac:dyDescent="0.3">
      <c r="B4" s="366"/>
      <c r="C4" s="159" t="s">
        <v>279</v>
      </c>
      <c r="D4" s="368"/>
      <c r="E4" s="368"/>
      <c r="F4" s="367"/>
      <c r="G4" s="367"/>
      <c r="H4" s="369"/>
      <c r="N4" s="383"/>
    </row>
    <row r="5" spans="2:17" s="142" customFormat="1" ht="12.6" customHeight="1" x14ac:dyDescent="0.25">
      <c r="B5" s="134"/>
      <c r="C5" s="370" t="s">
        <v>304</v>
      </c>
      <c r="D5" s="135"/>
      <c r="E5" s="371"/>
      <c r="F5" s="135"/>
      <c r="G5" s="135"/>
      <c r="H5" s="136"/>
      <c r="N5" s="158"/>
    </row>
    <row r="6" spans="2:17" s="142" customFormat="1" ht="12.6" customHeight="1" x14ac:dyDescent="0.2">
      <c r="B6" s="134"/>
      <c r="C6" s="135"/>
      <c r="D6" s="135"/>
      <c r="E6" s="371"/>
      <c r="F6" s="135"/>
      <c r="G6" s="135"/>
      <c r="H6" s="136"/>
      <c r="N6" s="158"/>
    </row>
    <row r="7" spans="2:17" x14ac:dyDescent="0.2">
      <c r="B7" s="134"/>
      <c r="C7" s="135"/>
      <c r="D7" s="135"/>
      <c r="E7" s="135"/>
      <c r="F7" s="135"/>
      <c r="G7" s="135"/>
      <c r="H7" s="136"/>
      <c r="P7" s="142"/>
      <c r="Q7" s="142"/>
    </row>
    <row r="8" spans="2:17" x14ac:dyDescent="0.2">
      <c r="B8" s="134"/>
      <c r="C8" s="137"/>
      <c r="D8" s="138"/>
      <c r="E8" s="137"/>
      <c r="F8" s="137"/>
      <c r="G8" s="137"/>
      <c r="H8" s="136"/>
    </row>
    <row r="9" spans="2:17" x14ac:dyDescent="0.2">
      <c r="B9" s="134"/>
      <c r="C9" s="137"/>
      <c r="D9" s="165" t="s">
        <v>250</v>
      </c>
      <c r="E9" s="137"/>
      <c r="F9" s="137"/>
      <c r="G9" s="137"/>
      <c r="H9" s="136"/>
    </row>
    <row r="10" spans="2:17" x14ac:dyDescent="0.2">
      <c r="B10" s="134"/>
      <c r="C10" s="137"/>
      <c r="D10" s="138"/>
      <c r="E10" s="137"/>
      <c r="F10" s="137"/>
      <c r="G10" s="137"/>
      <c r="H10" s="136"/>
    </row>
    <row r="11" spans="2:17" x14ac:dyDescent="0.2">
      <c r="B11" s="134"/>
      <c r="C11" s="137"/>
      <c r="D11" s="372" t="s">
        <v>281</v>
      </c>
      <c r="E11" s="137"/>
      <c r="F11" s="137"/>
      <c r="G11" s="137"/>
      <c r="H11" s="136"/>
    </row>
    <row r="12" spans="2:17" x14ac:dyDescent="0.2">
      <c r="B12" s="134"/>
      <c r="C12" s="137"/>
      <c r="D12" s="137" t="s">
        <v>60</v>
      </c>
      <c r="E12" s="137"/>
      <c r="F12" s="373">
        <v>41.34</v>
      </c>
      <c r="G12" s="137"/>
      <c r="H12" s="136"/>
    </row>
    <row r="13" spans="2:17" x14ac:dyDescent="0.2">
      <c r="B13" s="134"/>
      <c r="C13" s="137"/>
      <c r="D13" s="137" t="s">
        <v>61</v>
      </c>
      <c r="E13" s="137"/>
      <c r="F13" s="374">
        <v>4.5431999999999997</v>
      </c>
      <c r="G13" s="137"/>
      <c r="H13" s="136"/>
    </row>
    <row r="14" spans="2:17" x14ac:dyDescent="0.2">
      <c r="B14" s="134"/>
      <c r="C14" s="137"/>
      <c r="D14" s="137" t="str">
        <f>"Aantal leerlingen per 1 oktober "&amp;tab!$D$4</f>
        <v>Aantal leerlingen per 1 oktober 2018</v>
      </c>
      <c r="E14" s="137"/>
      <c r="F14" s="175">
        <v>45</v>
      </c>
      <c r="G14" s="137"/>
      <c r="H14" s="136"/>
    </row>
    <row r="15" spans="2:17" x14ac:dyDescent="0.2">
      <c r="B15" s="134"/>
      <c r="C15" s="137"/>
      <c r="D15" s="137" t="s">
        <v>248</v>
      </c>
      <c r="E15" s="177"/>
      <c r="F15" s="449">
        <f>ROUND(IF(F14=0,0,F14*(tab!D46+tab!D47*F12)),2)</f>
        <v>150361.04</v>
      </c>
      <c r="G15" s="137"/>
      <c r="H15" s="136"/>
    </row>
    <row r="16" spans="2:17" x14ac:dyDescent="0.2">
      <c r="B16" s="134"/>
      <c r="C16" s="137"/>
      <c r="D16" s="137" t="s">
        <v>81</v>
      </c>
      <c r="E16" s="138"/>
      <c r="F16" s="450">
        <f>IF(F14&gt;tab!$D48,tab!$D50,tab!$D49)</f>
        <v>18165.11</v>
      </c>
      <c r="G16" s="375"/>
      <c r="H16" s="136"/>
    </row>
    <row r="17" spans="2:8" x14ac:dyDescent="0.2">
      <c r="B17" s="134"/>
      <c r="C17" s="137"/>
      <c r="D17" s="138" t="s">
        <v>249</v>
      </c>
      <c r="E17" s="137"/>
      <c r="F17" s="451">
        <f>SUM(F15:F16)</f>
        <v>168526.15000000002</v>
      </c>
      <c r="G17" s="375"/>
      <c r="H17" s="136"/>
    </row>
    <row r="18" spans="2:8" x14ac:dyDescent="0.2">
      <c r="B18" s="134"/>
      <c r="C18" s="138"/>
      <c r="D18" s="138"/>
      <c r="E18" s="138"/>
      <c r="F18" s="384"/>
      <c r="G18" s="375"/>
      <c r="H18" s="136"/>
    </row>
    <row r="19" spans="2:8" x14ac:dyDescent="0.2">
      <c r="B19" s="134"/>
      <c r="C19" s="137"/>
      <c r="D19" s="138" t="s">
        <v>252</v>
      </c>
      <c r="E19" s="137"/>
      <c r="F19" s="385">
        <v>33</v>
      </c>
      <c r="G19" s="376"/>
      <c r="H19" s="136"/>
    </row>
    <row r="20" spans="2:8" x14ac:dyDescent="0.2">
      <c r="B20" s="134"/>
      <c r="C20" s="137"/>
      <c r="D20" s="137" t="s">
        <v>255</v>
      </c>
      <c r="E20" s="137"/>
      <c r="F20" s="452">
        <f>ROUND(F14*50%,0)</f>
        <v>23</v>
      </c>
      <c r="G20" s="137"/>
      <c r="H20" s="136"/>
    </row>
    <row r="21" spans="2:8" x14ac:dyDescent="0.2">
      <c r="B21" s="134"/>
      <c r="C21" s="376"/>
      <c r="D21" s="137" t="s">
        <v>278</v>
      </c>
      <c r="E21" s="137"/>
      <c r="F21" s="176" t="str">
        <f>IF(F19&gt;=F20,"ja","nee")</f>
        <v>ja</v>
      </c>
      <c r="G21" s="137"/>
      <c r="H21" s="136"/>
    </row>
    <row r="22" spans="2:8" x14ac:dyDescent="0.2">
      <c r="B22" s="134"/>
      <c r="C22" s="376"/>
      <c r="D22" s="137"/>
      <c r="E22" s="137"/>
      <c r="F22" s="137"/>
      <c r="G22" s="137"/>
      <c r="H22" s="136"/>
    </row>
    <row r="23" spans="2:8" x14ac:dyDescent="0.2">
      <c r="B23" s="134"/>
      <c r="C23" s="376"/>
      <c r="D23" s="44" t="s">
        <v>277</v>
      </c>
      <c r="E23" s="137"/>
      <c r="F23" s="453">
        <f>SUM(F24:F29)</f>
        <v>1011156.9000000001</v>
      </c>
      <c r="G23" s="137"/>
      <c r="H23" s="136"/>
    </row>
    <row r="24" spans="2:8" x14ac:dyDescent="0.2">
      <c r="B24" s="134"/>
      <c r="C24" s="376"/>
      <c r="D24" s="90" t="s">
        <v>102</v>
      </c>
      <c r="E24" s="137"/>
      <c r="F24" s="454">
        <f t="shared" ref="F24:F29" si="0">IF(F$21="nee",0,F$17)</f>
        <v>168526.15000000002</v>
      </c>
      <c r="G24" s="137"/>
      <c r="H24" s="136"/>
    </row>
    <row r="25" spans="2:8" x14ac:dyDescent="0.2">
      <c r="B25" s="134"/>
      <c r="C25" s="376"/>
      <c r="D25" s="90" t="s">
        <v>103</v>
      </c>
      <c r="E25" s="137"/>
      <c r="F25" s="454">
        <f t="shared" si="0"/>
        <v>168526.15000000002</v>
      </c>
      <c r="G25" s="137"/>
      <c r="H25" s="136"/>
    </row>
    <row r="26" spans="2:8" x14ac:dyDescent="0.2">
      <c r="B26" s="134"/>
      <c r="C26" s="376"/>
      <c r="D26" s="90" t="s">
        <v>104</v>
      </c>
      <c r="E26" s="137"/>
      <c r="F26" s="454">
        <f t="shared" si="0"/>
        <v>168526.15000000002</v>
      </c>
      <c r="G26" s="137"/>
      <c r="H26" s="136"/>
    </row>
    <row r="27" spans="2:8" x14ac:dyDescent="0.2">
      <c r="B27" s="134"/>
      <c r="C27" s="375"/>
      <c r="D27" s="90" t="s">
        <v>105</v>
      </c>
      <c r="E27" s="137"/>
      <c r="F27" s="454">
        <f t="shared" si="0"/>
        <v>168526.15000000002</v>
      </c>
      <c r="G27" s="137"/>
      <c r="H27" s="136"/>
    </row>
    <row r="28" spans="2:8" x14ac:dyDescent="0.2">
      <c r="B28" s="134"/>
      <c r="C28" s="375"/>
      <c r="D28" s="90" t="s">
        <v>106</v>
      </c>
      <c r="E28" s="137"/>
      <c r="F28" s="454">
        <f t="shared" si="0"/>
        <v>168526.15000000002</v>
      </c>
      <c r="G28" s="137"/>
      <c r="H28" s="136"/>
    </row>
    <row r="29" spans="2:8" x14ac:dyDescent="0.2">
      <c r="B29" s="134"/>
      <c r="C29" s="137"/>
      <c r="D29" s="90" t="s">
        <v>209</v>
      </c>
      <c r="E29" s="137"/>
      <c r="F29" s="454">
        <f t="shared" si="0"/>
        <v>168526.15000000002</v>
      </c>
      <c r="G29" s="137"/>
      <c r="H29" s="136"/>
    </row>
    <row r="30" spans="2:8" x14ac:dyDescent="0.2">
      <c r="B30" s="134"/>
      <c r="C30" s="137"/>
      <c r="D30" s="137"/>
      <c r="E30" s="137"/>
      <c r="F30" s="375"/>
      <c r="G30" s="137"/>
      <c r="H30" s="136"/>
    </row>
    <row r="31" spans="2:8" x14ac:dyDescent="0.2">
      <c r="B31" s="134"/>
      <c r="C31" s="135"/>
      <c r="D31" s="135"/>
      <c r="E31" s="135"/>
      <c r="F31" s="455"/>
      <c r="G31" s="135"/>
      <c r="H31" s="136"/>
    </row>
    <row r="32" spans="2:8" x14ac:dyDescent="0.2">
      <c r="B32" s="139"/>
      <c r="C32" s="140"/>
      <c r="D32" s="140"/>
      <c r="E32" s="140"/>
      <c r="F32" s="140"/>
      <c r="G32" s="140"/>
      <c r="H32" s="141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&amp;L&amp;"Arial,Vet"&amp;A&amp;C&amp;"Arial,Vet"&amp;F&amp;R&amp;"Arial,Vet"&amp;D</oddHeader>
    <oddFooter>&amp;L&amp;"Arial,Vet"PO-Raad&amp;R&amp;"Arial,Vet"&amp;P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B1:M91"/>
  <sheetViews>
    <sheetView zoomScale="85" zoomScaleNormal="85" zoomScaleSheetLayoutView="85" workbookViewId="0"/>
  </sheetViews>
  <sheetFormatPr defaultColWidth="9.140625" defaultRowHeight="12.75" x14ac:dyDescent="0.2"/>
  <cols>
    <col min="1" max="1" width="2.42578125" style="2" customWidth="1"/>
    <col min="2" max="2" width="45.7109375" style="2" customWidth="1"/>
    <col min="3" max="3" width="7" style="2" customWidth="1"/>
    <col min="4" max="8" width="14.85546875" style="2" customWidth="1"/>
    <col min="9" max="13" width="14.28515625" style="2" customWidth="1"/>
    <col min="14" max="16384" width="9.140625" style="2"/>
  </cols>
  <sheetData>
    <row r="1" spans="2:13" ht="12.75" customHeight="1" x14ac:dyDescent="0.2">
      <c r="E1" s="102"/>
      <c r="F1" s="1"/>
    </row>
    <row r="2" spans="2:13" ht="12.75" customHeight="1" x14ac:dyDescent="0.2">
      <c r="B2" s="2" t="s">
        <v>36</v>
      </c>
      <c r="C2" s="1"/>
      <c r="D2" s="87" t="s">
        <v>166</v>
      </c>
      <c r="E2" s="87" t="s">
        <v>167</v>
      </c>
      <c r="F2" s="87" t="s">
        <v>168</v>
      </c>
      <c r="G2" s="87" t="s">
        <v>169</v>
      </c>
      <c r="H2" s="87" t="s">
        <v>251</v>
      </c>
      <c r="I2" s="87" t="s">
        <v>312</v>
      </c>
      <c r="J2" s="87"/>
      <c r="K2" s="87"/>
      <c r="L2" s="87"/>
      <c r="M2" s="87"/>
    </row>
    <row r="3" spans="2:13" ht="12.75" customHeight="1" x14ac:dyDescent="0.2">
      <c r="B3" s="2" t="s">
        <v>68</v>
      </c>
      <c r="C3" s="1"/>
      <c r="D3" s="492">
        <v>2019</v>
      </c>
      <c r="E3" s="492">
        <f t="shared" ref="E3:E4" si="0">D3+1</f>
        <v>2020</v>
      </c>
      <c r="F3" s="492">
        <f t="shared" ref="F3:F4" si="1">E3+1</f>
        <v>2021</v>
      </c>
      <c r="G3" s="492">
        <f t="shared" ref="G3:G4" si="2">F3+1</f>
        <v>2022</v>
      </c>
      <c r="H3" s="492">
        <f t="shared" ref="H3" si="3">G3+1</f>
        <v>2023</v>
      </c>
      <c r="I3" s="492">
        <f t="shared" ref="I3" si="4">H3+1</f>
        <v>2024</v>
      </c>
      <c r="J3" s="221"/>
      <c r="K3" s="221"/>
      <c r="L3" s="221"/>
      <c r="M3" s="221"/>
    </row>
    <row r="4" spans="2:13" ht="12.75" customHeight="1" x14ac:dyDescent="0.2">
      <c r="B4" s="2" t="s">
        <v>69</v>
      </c>
      <c r="C4" s="1"/>
      <c r="D4" s="2">
        <v>2018</v>
      </c>
      <c r="E4" s="2">
        <f t="shared" si="0"/>
        <v>2019</v>
      </c>
      <c r="F4" s="2">
        <f t="shared" si="1"/>
        <v>2020</v>
      </c>
      <c r="G4" s="2">
        <f t="shared" si="2"/>
        <v>2021</v>
      </c>
      <c r="H4" s="2">
        <v>2022</v>
      </c>
      <c r="I4" s="2">
        <v>2023</v>
      </c>
    </row>
    <row r="5" spans="2:13" ht="12.75" customHeight="1" x14ac:dyDescent="0.2">
      <c r="C5" s="1"/>
    </row>
    <row r="6" spans="2:13" ht="12.75" customHeight="1" x14ac:dyDescent="0.2">
      <c r="B6" s="1" t="s">
        <v>256</v>
      </c>
      <c r="C6" s="1"/>
      <c r="D6" s="5"/>
      <c r="E6" s="5"/>
      <c r="F6" s="6"/>
    </row>
    <row r="7" spans="2:13" ht="12.75" customHeight="1" x14ac:dyDescent="0.2">
      <c r="B7" s="1" t="s">
        <v>41</v>
      </c>
      <c r="D7" s="1"/>
      <c r="E7" s="1"/>
    </row>
    <row r="8" spans="2:13" ht="12.75" customHeight="1" x14ac:dyDescent="0.2">
      <c r="B8" s="2" t="s">
        <v>1</v>
      </c>
      <c r="D8" s="2">
        <v>5.9499999999999997E-2</v>
      </c>
    </row>
    <row r="9" spans="2:13" ht="12.75" customHeight="1" x14ac:dyDescent="0.2">
      <c r="B9" s="2" t="s">
        <v>2</v>
      </c>
      <c r="D9" s="2">
        <v>4.1399999999999999E-2</v>
      </c>
    </row>
    <row r="10" spans="2:13" ht="12.75" customHeight="1" x14ac:dyDescent="0.2">
      <c r="B10" s="2" t="s">
        <v>44</v>
      </c>
      <c r="C10" s="1"/>
      <c r="D10" s="2">
        <v>5.0299999999999997E-2</v>
      </c>
    </row>
    <row r="11" spans="2:13" ht="12.75" customHeight="1" x14ac:dyDescent="0.2">
      <c r="B11" s="2" t="s">
        <v>3</v>
      </c>
      <c r="C11" s="1"/>
      <c r="D11" s="2">
        <v>2.1507999999999998</v>
      </c>
    </row>
    <row r="12" spans="2:13" ht="12.75" customHeight="1" x14ac:dyDescent="0.2">
      <c r="B12" s="2" t="s">
        <v>4</v>
      </c>
      <c r="C12" s="1"/>
      <c r="D12" s="2">
        <v>1.49E-2</v>
      </c>
    </row>
    <row r="13" spans="2:13" ht="12.75" customHeight="1" x14ac:dyDescent="0.2">
      <c r="B13" s="3" t="s">
        <v>57</v>
      </c>
      <c r="D13" s="2">
        <v>2.6926999999999999</v>
      </c>
    </row>
    <row r="14" spans="2:13" ht="12.75" customHeight="1" x14ac:dyDescent="0.2">
      <c r="C14" s="1"/>
    </row>
    <row r="15" spans="2:13" ht="12.75" customHeight="1" x14ac:dyDescent="0.2">
      <c r="B15" s="3" t="s">
        <v>40</v>
      </c>
      <c r="D15" s="277">
        <v>39.909999999999997</v>
      </c>
      <c r="F15" s="119"/>
      <c r="G15" s="110"/>
      <c r="H15" s="111"/>
      <c r="I15" s="239"/>
      <c r="J15" s="239"/>
      <c r="K15" s="239"/>
      <c r="L15" s="239"/>
      <c r="M15" s="239"/>
    </row>
    <row r="16" spans="2:13" ht="12.75" customHeight="1" x14ac:dyDescent="0.2">
      <c r="B16" s="3" t="s">
        <v>38</v>
      </c>
      <c r="D16" s="278">
        <v>67843.289999999994</v>
      </c>
      <c r="F16" s="119"/>
      <c r="G16" s="110"/>
      <c r="H16" s="112"/>
      <c r="I16" s="240"/>
      <c r="J16" s="240"/>
      <c r="K16" s="240"/>
      <c r="L16" s="240"/>
      <c r="M16" s="240"/>
    </row>
    <row r="17" spans="2:13" ht="12.75" customHeight="1" x14ac:dyDescent="0.2">
      <c r="B17" s="2" t="s">
        <v>37</v>
      </c>
      <c r="D17" s="278">
        <v>82819.240000000005</v>
      </c>
      <c r="F17" s="87"/>
      <c r="G17" s="110"/>
      <c r="H17" s="112"/>
      <c r="I17" s="240"/>
      <c r="J17" s="240"/>
      <c r="K17" s="240"/>
      <c r="L17" s="240"/>
      <c r="M17" s="240"/>
    </row>
    <row r="18" spans="2:13" ht="12.75" customHeight="1" x14ac:dyDescent="0.2">
      <c r="B18" s="4" t="s">
        <v>39</v>
      </c>
      <c r="D18" s="278">
        <v>32664.59</v>
      </c>
      <c r="F18" s="119"/>
      <c r="G18" s="114"/>
      <c r="H18" s="112"/>
      <c r="I18" s="240"/>
      <c r="J18" s="240"/>
      <c r="K18" s="240"/>
      <c r="L18" s="240"/>
      <c r="M18" s="240"/>
    </row>
    <row r="19" spans="2:13" ht="12.75" customHeight="1" x14ac:dyDescent="0.2">
      <c r="B19" s="4" t="s">
        <v>266</v>
      </c>
      <c r="D19" s="278">
        <v>881.45</v>
      </c>
      <c r="F19" s="119"/>
      <c r="G19" s="114"/>
      <c r="H19" s="112"/>
      <c r="I19" s="240"/>
      <c r="J19" s="240"/>
      <c r="K19" s="240"/>
      <c r="L19" s="240"/>
      <c r="M19" s="240"/>
    </row>
    <row r="20" spans="2:13" ht="12.75" customHeight="1" x14ac:dyDescent="0.2">
      <c r="B20" s="7" t="s">
        <v>82</v>
      </c>
      <c r="D20" s="278">
        <v>17809.95</v>
      </c>
      <c r="F20" s="7"/>
      <c r="G20" s="110"/>
      <c r="H20" s="112"/>
      <c r="I20" s="240"/>
      <c r="J20" s="240"/>
      <c r="K20" s="240"/>
      <c r="L20" s="240"/>
      <c r="M20" s="240"/>
    </row>
    <row r="21" spans="2:13" ht="12.75" customHeight="1" x14ac:dyDescent="0.2">
      <c r="B21" s="7" t="s">
        <v>83</v>
      </c>
      <c r="D21" s="278">
        <v>32785.9</v>
      </c>
      <c r="F21" s="7"/>
      <c r="G21" s="115"/>
      <c r="H21" s="112"/>
      <c r="I21" s="240"/>
      <c r="J21" s="240"/>
      <c r="K21" s="240"/>
      <c r="L21" s="240"/>
      <c r="M21" s="240"/>
    </row>
    <row r="22" spans="2:13" ht="12.75" customHeight="1" x14ac:dyDescent="0.2">
      <c r="B22" s="2" t="s">
        <v>74</v>
      </c>
      <c r="D22" s="279">
        <v>1981</v>
      </c>
      <c r="F22" s="113"/>
      <c r="G22" s="114"/>
      <c r="H22" s="116"/>
      <c r="I22" s="241"/>
      <c r="J22" s="241"/>
      <c r="K22" s="241"/>
      <c r="L22" s="241"/>
      <c r="M22" s="241"/>
    </row>
    <row r="23" spans="2:13" x14ac:dyDescent="0.2">
      <c r="B23" s="2" t="s">
        <v>73</v>
      </c>
      <c r="D23" s="54">
        <v>0.06</v>
      </c>
      <c r="F23" s="117"/>
      <c r="G23" s="118"/>
      <c r="H23" s="112"/>
      <c r="I23" s="240"/>
      <c r="J23" s="240"/>
      <c r="K23" s="240"/>
      <c r="L23" s="240"/>
      <c r="M23" s="240"/>
    </row>
    <row r="25" spans="2:13" ht="12.75" customHeight="1" x14ac:dyDescent="0.2">
      <c r="B25" s="2" t="s">
        <v>42</v>
      </c>
      <c r="D25" s="52">
        <f>ROUND(D18*D8,2)</f>
        <v>1943.54</v>
      </c>
    </row>
    <row r="26" spans="2:13" x14ac:dyDescent="0.2">
      <c r="B26" s="2" t="s">
        <v>43</v>
      </c>
      <c r="D26" s="52">
        <f>ROUND(D8*D19,2)</f>
        <v>52.45</v>
      </c>
    </row>
    <row r="27" spans="2:13" x14ac:dyDescent="0.2">
      <c r="B27" s="2" t="s">
        <v>45</v>
      </c>
      <c r="D27" s="52">
        <f>ROUND(D18*D9,2)</f>
        <v>1352.31</v>
      </c>
    </row>
    <row r="28" spans="2:13" x14ac:dyDescent="0.2">
      <c r="B28" s="2" t="s">
        <v>46</v>
      </c>
      <c r="D28" s="52">
        <f>ROUND(D9*D19,2)</f>
        <v>36.49</v>
      </c>
    </row>
    <row r="29" spans="2:13" x14ac:dyDescent="0.2">
      <c r="B29" s="2" t="s">
        <v>47</v>
      </c>
      <c r="D29" s="52">
        <f>ROUND(D18*D10,2)</f>
        <v>1643.03</v>
      </c>
    </row>
    <row r="30" spans="2:13" x14ac:dyDescent="0.2">
      <c r="B30" s="2" t="s">
        <v>48</v>
      </c>
      <c r="D30" s="52">
        <f>ROUND(D10*D19,2)</f>
        <v>44.34</v>
      </c>
    </row>
    <row r="31" spans="2:13" x14ac:dyDescent="0.2">
      <c r="B31" s="2" t="s">
        <v>49</v>
      </c>
      <c r="D31" s="52">
        <f>ROUND(D18*D11,2)</f>
        <v>70255</v>
      </c>
      <c r="G31" s="2" t="s">
        <v>302</v>
      </c>
      <c r="I31" s="363">
        <v>41885.43</v>
      </c>
    </row>
    <row r="32" spans="2:13" x14ac:dyDescent="0.2">
      <c r="B32" s="2" t="s">
        <v>50</v>
      </c>
      <c r="D32" s="52">
        <f>ROUND(D11*D19,2)</f>
        <v>1895.82</v>
      </c>
      <c r="G32" s="2" t="s">
        <v>303</v>
      </c>
      <c r="I32" s="363">
        <v>288.89999999999998</v>
      </c>
    </row>
    <row r="33" spans="2:6" x14ac:dyDescent="0.2">
      <c r="B33" s="2" t="s">
        <v>51</v>
      </c>
      <c r="D33" s="52">
        <f>ROUND(D18*D12,2)</f>
        <v>486.7</v>
      </c>
    </row>
    <row r="34" spans="2:6" x14ac:dyDescent="0.2">
      <c r="B34" s="2" t="s">
        <v>52</v>
      </c>
      <c r="D34" s="52">
        <f>ROUND(D12*D19,2)</f>
        <v>13.13</v>
      </c>
    </row>
    <row r="35" spans="2:6" x14ac:dyDescent="0.2">
      <c r="B35" s="2" t="s">
        <v>53</v>
      </c>
      <c r="D35" s="52">
        <f>ROUND(D18*D13+D20,2)</f>
        <v>105765.89</v>
      </c>
    </row>
    <row r="36" spans="2:6" x14ac:dyDescent="0.2">
      <c r="B36" s="2" t="s">
        <v>54</v>
      </c>
      <c r="D36" s="52">
        <f>ROUND(D19*D13,2)</f>
        <v>2373.48</v>
      </c>
    </row>
    <row r="37" spans="2:6" x14ac:dyDescent="0.2">
      <c r="B37" s="2" t="s">
        <v>55</v>
      </c>
      <c r="D37" s="53">
        <v>97</v>
      </c>
    </row>
    <row r="38" spans="2:6" x14ac:dyDescent="0.2">
      <c r="B38" s="2" t="s">
        <v>56</v>
      </c>
      <c r="D38" s="52">
        <f>D20</f>
        <v>17809.95</v>
      </c>
    </row>
    <row r="39" spans="2:6" x14ac:dyDescent="0.2">
      <c r="B39" s="2" t="s">
        <v>78</v>
      </c>
      <c r="D39" s="52">
        <f>+D21</f>
        <v>32785.9</v>
      </c>
    </row>
    <row r="41" spans="2:6" x14ac:dyDescent="0.2">
      <c r="B41" s="1" t="s">
        <v>241</v>
      </c>
      <c r="E41" s="363"/>
    </row>
    <row r="42" spans="2:6" x14ac:dyDescent="0.2">
      <c r="B42" s="87" t="s">
        <v>38</v>
      </c>
      <c r="D42" s="379">
        <v>73760.06</v>
      </c>
      <c r="E42" s="363"/>
    </row>
    <row r="43" spans="2:6" x14ac:dyDescent="0.2">
      <c r="B43" s="87" t="s">
        <v>245</v>
      </c>
      <c r="C43" s="114"/>
      <c r="D43" s="364">
        <v>31610.67</v>
      </c>
    </row>
    <row r="44" spans="2:6" x14ac:dyDescent="0.2">
      <c r="B44" s="87" t="s">
        <v>246</v>
      </c>
      <c r="C44" s="114"/>
      <c r="D44" s="364">
        <v>1023.54</v>
      </c>
    </row>
    <row r="45" spans="2:6" x14ac:dyDescent="0.2">
      <c r="B45" s="87" t="s">
        <v>242</v>
      </c>
    </row>
    <row r="46" spans="2:6" x14ac:dyDescent="0.2">
      <c r="B46" s="87" t="s">
        <v>243</v>
      </c>
      <c r="C46" s="87">
        <v>4.5199999999999997E-2</v>
      </c>
      <c r="D46" s="363">
        <f>D43*C46</f>
        <v>1428.8022839999999</v>
      </c>
      <c r="F46" s="87"/>
    </row>
    <row r="47" spans="2:6" x14ac:dyDescent="0.2">
      <c r="B47" s="87" t="s">
        <v>244</v>
      </c>
      <c r="C47" s="87">
        <v>4.5199999999999997E-2</v>
      </c>
      <c r="D47" s="363">
        <f>D44*C47</f>
        <v>46.264007999999997</v>
      </c>
      <c r="F47" s="87"/>
    </row>
    <row r="48" spans="2:6" x14ac:dyDescent="0.2">
      <c r="B48" s="87" t="s">
        <v>55</v>
      </c>
      <c r="D48" s="365">
        <v>99</v>
      </c>
      <c r="E48" s="87" t="s">
        <v>247</v>
      </c>
    </row>
    <row r="49" spans="2:8" x14ac:dyDescent="0.2">
      <c r="B49" s="7" t="s">
        <v>82</v>
      </c>
      <c r="C49" s="114"/>
      <c r="D49" s="364">
        <v>18165.11</v>
      </c>
      <c r="E49" s="378"/>
    </row>
    <row r="50" spans="2:8" x14ac:dyDescent="0.2">
      <c r="B50" s="7" t="s">
        <v>83</v>
      </c>
      <c r="C50" s="115"/>
      <c r="D50" s="364">
        <v>33699.22</v>
      </c>
      <c r="E50" s="378"/>
    </row>
    <row r="51" spans="2:8" x14ac:dyDescent="0.2">
      <c r="B51" s="7"/>
      <c r="C51" s="115"/>
      <c r="D51" s="380"/>
      <c r="E51" s="378"/>
    </row>
    <row r="52" spans="2:8" x14ac:dyDescent="0.2">
      <c r="B52" s="121" t="s">
        <v>113</v>
      </c>
      <c r="G52" s="1">
        <f>D3</f>
        <v>2019</v>
      </c>
    </row>
    <row r="53" spans="2:8" x14ac:dyDescent="0.2">
      <c r="B53" s="122" t="s">
        <v>114</v>
      </c>
      <c r="D53" s="123">
        <v>0.05</v>
      </c>
      <c r="E53" s="123"/>
      <c r="F53" s="87" t="s">
        <v>130</v>
      </c>
      <c r="G53" s="1" t="s">
        <v>112</v>
      </c>
    </row>
    <row r="54" spans="2:8" x14ac:dyDescent="0.2">
      <c r="B54" s="87" t="s">
        <v>115</v>
      </c>
      <c r="D54" s="1">
        <v>3.4299999999999997E-2</v>
      </c>
      <c r="E54" s="1"/>
      <c r="F54" s="87" t="s">
        <v>128</v>
      </c>
      <c r="G54" s="87" t="s">
        <v>127</v>
      </c>
      <c r="H54" s="87" t="s">
        <v>128</v>
      </c>
    </row>
    <row r="55" spans="2:8" x14ac:dyDescent="0.2">
      <c r="B55" s="87" t="s">
        <v>116</v>
      </c>
      <c r="D55" s="87">
        <v>1.7899999999999999E-2</v>
      </c>
      <c r="E55" s="87" t="s">
        <v>175</v>
      </c>
      <c r="F55" s="284">
        <v>663.05</v>
      </c>
      <c r="G55" s="285">
        <v>13951.58</v>
      </c>
      <c r="H55" s="285">
        <v>336.23</v>
      </c>
    </row>
    <row r="56" spans="2:8" x14ac:dyDescent="0.2">
      <c r="B56" s="87" t="s">
        <v>117</v>
      </c>
      <c r="D56" s="87">
        <v>1.5642</v>
      </c>
      <c r="E56" s="87" t="s">
        <v>176</v>
      </c>
      <c r="F56" s="286">
        <v>312.06</v>
      </c>
    </row>
    <row r="57" spans="2:8" x14ac:dyDescent="0.2">
      <c r="B57" s="87" t="s">
        <v>118</v>
      </c>
      <c r="D57" s="87">
        <v>1.15E-2</v>
      </c>
      <c r="E57" s="87"/>
    </row>
    <row r="59" spans="2:8" x14ac:dyDescent="0.2">
      <c r="B59" s="87" t="s">
        <v>125</v>
      </c>
      <c r="C59" s="124">
        <f>D3</f>
        <v>2019</v>
      </c>
      <c r="D59" s="125"/>
      <c r="E59" s="1"/>
      <c r="F59" s="1"/>
      <c r="G59" s="87"/>
    </row>
    <row r="60" spans="2:8" x14ac:dyDescent="0.2">
      <c r="C60" s="87" t="s">
        <v>119</v>
      </c>
      <c r="D60" s="87" t="s">
        <v>120</v>
      </c>
      <c r="E60" s="87" t="s">
        <v>121</v>
      </c>
      <c r="F60" s="126" t="s">
        <v>122</v>
      </c>
      <c r="G60" s="87" t="s">
        <v>123</v>
      </c>
    </row>
    <row r="61" spans="2:8" x14ac:dyDescent="0.2">
      <c r="C61" s="126"/>
      <c r="D61" s="87"/>
      <c r="E61" s="87"/>
      <c r="F61" s="87"/>
      <c r="G61" s="126" t="s">
        <v>124</v>
      </c>
    </row>
    <row r="62" spans="2:8" x14ac:dyDescent="0.2">
      <c r="C62" s="87">
        <v>0</v>
      </c>
      <c r="D62" s="282">
        <v>0</v>
      </c>
      <c r="E62" s="87"/>
      <c r="F62" s="87"/>
      <c r="G62" s="87"/>
    </row>
    <row r="63" spans="2:8" x14ac:dyDescent="0.2">
      <c r="C63" s="127">
        <v>2</v>
      </c>
      <c r="D63" s="283">
        <v>24855</v>
      </c>
      <c r="E63" s="87"/>
      <c r="F63" s="87"/>
      <c r="G63" s="87"/>
    </row>
    <row r="64" spans="2:8" x14ac:dyDescent="0.2">
      <c r="C64" s="127">
        <v>3</v>
      </c>
      <c r="D64" s="283">
        <v>32175</v>
      </c>
      <c r="E64" s="242">
        <f t="shared" ref="E64:E91" si="5">+D64-D63</f>
        <v>7320</v>
      </c>
      <c r="F64" s="242"/>
      <c r="G64" s="87"/>
    </row>
    <row r="65" spans="3:7" x14ac:dyDescent="0.2">
      <c r="C65" s="127">
        <v>4</v>
      </c>
      <c r="D65" s="283">
        <v>41630</v>
      </c>
      <c r="E65" s="242">
        <f t="shared" si="5"/>
        <v>9455</v>
      </c>
      <c r="F65" s="242"/>
      <c r="G65" s="87"/>
    </row>
    <row r="66" spans="3:7" x14ac:dyDescent="0.2">
      <c r="C66" s="127">
        <v>5</v>
      </c>
      <c r="D66" s="283">
        <v>49865</v>
      </c>
      <c r="E66" s="242">
        <f t="shared" si="5"/>
        <v>8235</v>
      </c>
      <c r="F66" s="242"/>
      <c r="G66" s="87"/>
    </row>
    <row r="67" spans="3:7" x14ac:dyDescent="0.2">
      <c r="C67" s="127">
        <v>6</v>
      </c>
      <c r="D67" s="283">
        <v>55355</v>
      </c>
      <c r="E67" s="242">
        <f t="shared" si="5"/>
        <v>5490</v>
      </c>
      <c r="F67" s="242"/>
      <c r="G67" s="87"/>
    </row>
    <row r="68" spans="3:7" x14ac:dyDescent="0.2">
      <c r="C68" s="127">
        <v>7</v>
      </c>
      <c r="D68" s="243">
        <f t="shared" ref="D68:D74" si="6">+D67+F68</f>
        <v>61760</v>
      </c>
      <c r="E68" s="242">
        <f t="shared" si="5"/>
        <v>6405</v>
      </c>
      <c r="F68" s="287">
        <v>6405</v>
      </c>
      <c r="G68" s="87"/>
    </row>
    <row r="69" spans="3:7" x14ac:dyDescent="0.2">
      <c r="C69" s="127">
        <v>8</v>
      </c>
      <c r="D69" s="243">
        <f t="shared" si="6"/>
        <v>68165</v>
      </c>
      <c r="E69" s="242">
        <f t="shared" si="5"/>
        <v>6405</v>
      </c>
      <c r="F69" s="242">
        <f t="shared" ref="F69:F91" si="7">F68</f>
        <v>6405</v>
      </c>
      <c r="G69" s="87"/>
    </row>
    <row r="70" spans="3:7" x14ac:dyDescent="0.2">
      <c r="C70" s="127">
        <v>9</v>
      </c>
      <c r="D70" s="243">
        <f t="shared" si="6"/>
        <v>74570</v>
      </c>
      <c r="E70" s="242">
        <f t="shared" si="5"/>
        <v>6405</v>
      </c>
      <c r="F70" s="242">
        <f t="shared" si="7"/>
        <v>6405</v>
      </c>
      <c r="G70" s="87"/>
    </row>
    <row r="71" spans="3:7" x14ac:dyDescent="0.2">
      <c r="C71" s="127">
        <v>10</v>
      </c>
      <c r="D71" s="243">
        <f t="shared" si="6"/>
        <v>80975</v>
      </c>
      <c r="E71" s="242">
        <f t="shared" si="5"/>
        <v>6405</v>
      </c>
      <c r="F71" s="242">
        <f t="shared" si="7"/>
        <v>6405</v>
      </c>
      <c r="G71" s="87"/>
    </row>
    <row r="72" spans="3:7" x14ac:dyDescent="0.2">
      <c r="C72" s="127">
        <v>11</v>
      </c>
      <c r="D72" s="243">
        <f t="shared" si="6"/>
        <v>87380</v>
      </c>
      <c r="E72" s="242">
        <f t="shared" si="5"/>
        <v>6405</v>
      </c>
      <c r="F72" s="242">
        <f t="shared" si="7"/>
        <v>6405</v>
      </c>
      <c r="G72" s="87"/>
    </row>
    <row r="73" spans="3:7" x14ac:dyDescent="0.2">
      <c r="C73" s="127">
        <v>12</v>
      </c>
      <c r="D73" s="243">
        <f t="shared" si="6"/>
        <v>93785</v>
      </c>
      <c r="E73" s="242">
        <f t="shared" si="5"/>
        <v>6405</v>
      </c>
      <c r="F73" s="242">
        <f t="shared" si="7"/>
        <v>6405</v>
      </c>
      <c r="G73" s="87"/>
    </row>
    <row r="74" spans="3:7" x14ac:dyDescent="0.2">
      <c r="C74" s="127">
        <v>13</v>
      </c>
      <c r="D74" s="243">
        <f t="shared" si="6"/>
        <v>100190</v>
      </c>
      <c r="E74" s="242">
        <f t="shared" si="5"/>
        <v>6405</v>
      </c>
      <c r="F74" s="242">
        <f t="shared" si="7"/>
        <v>6405</v>
      </c>
      <c r="G74" s="87"/>
    </row>
    <row r="75" spans="3:7" x14ac:dyDescent="0.2">
      <c r="C75" s="127">
        <v>14</v>
      </c>
      <c r="D75" s="243">
        <f>+D74+F75+G75</f>
        <v>109035</v>
      </c>
      <c r="E75" s="242">
        <f t="shared" si="5"/>
        <v>8845</v>
      </c>
      <c r="F75" s="242">
        <f t="shared" si="7"/>
        <v>6405</v>
      </c>
      <c r="G75" s="287">
        <v>2440</v>
      </c>
    </row>
    <row r="76" spans="3:7" x14ac:dyDescent="0.2">
      <c r="C76" s="127">
        <v>15</v>
      </c>
      <c r="D76" s="243">
        <f t="shared" ref="D76:D91" si="8">+D75+F76</f>
        <v>115440</v>
      </c>
      <c r="E76" s="242">
        <f t="shared" si="5"/>
        <v>6405</v>
      </c>
      <c r="F76" s="242">
        <f t="shared" si="7"/>
        <v>6405</v>
      </c>
      <c r="G76" s="87"/>
    </row>
    <row r="77" spans="3:7" x14ac:dyDescent="0.2">
      <c r="C77" s="127">
        <v>16</v>
      </c>
      <c r="D77" s="243">
        <f t="shared" si="8"/>
        <v>121845</v>
      </c>
      <c r="E77" s="242">
        <f t="shared" si="5"/>
        <v>6405</v>
      </c>
      <c r="F77" s="242">
        <f t="shared" si="7"/>
        <v>6405</v>
      </c>
      <c r="G77" s="87"/>
    </row>
    <row r="78" spans="3:7" x14ac:dyDescent="0.2">
      <c r="C78" s="127">
        <v>17</v>
      </c>
      <c r="D78" s="243">
        <f t="shared" si="8"/>
        <v>128250</v>
      </c>
      <c r="E78" s="242">
        <f t="shared" si="5"/>
        <v>6405</v>
      </c>
      <c r="F78" s="242">
        <f t="shared" si="7"/>
        <v>6405</v>
      </c>
      <c r="G78" s="87"/>
    </row>
    <row r="79" spans="3:7" x14ac:dyDescent="0.2">
      <c r="C79" s="127">
        <v>18</v>
      </c>
      <c r="D79" s="243">
        <f t="shared" si="8"/>
        <v>134655</v>
      </c>
      <c r="E79" s="242">
        <f t="shared" si="5"/>
        <v>6405</v>
      </c>
      <c r="F79" s="242">
        <f t="shared" si="7"/>
        <v>6405</v>
      </c>
      <c r="G79" s="87"/>
    </row>
    <row r="80" spans="3:7" x14ac:dyDescent="0.2">
      <c r="C80" s="127">
        <v>19</v>
      </c>
      <c r="D80" s="243">
        <f t="shared" si="8"/>
        <v>141060</v>
      </c>
      <c r="E80" s="242">
        <f t="shared" si="5"/>
        <v>6405</v>
      </c>
      <c r="F80" s="242">
        <f t="shared" si="7"/>
        <v>6405</v>
      </c>
      <c r="G80" s="87"/>
    </row>
    <row r="81" spans="3:7" x14ac:dyDescent="0.2">
      <c r="C81" s="127">
        <v>20</v>
      </c>
      <c r="D81" s="243">
        <f t="shared" si="8"/>
        <v>147465</v>
      </c>
      <c r="E81" s="242">
        <f t="shared" si="5"/>
        <v>6405</v>
      </c>
      <c r="F81" s="242">
        <f t="shared" si="7"/>
        <v>6405</v>
      </c>
      <c r="G81" s="87"/>
    </row>
    <row r="82" spans="3:7" x14ac:dyDescent="0.2">
      <c r="C82" s="127">
        <v>21</v>
      </c>
      <c r="D82" s="243">
        <f t="shared" si="8"/>
        <v>153870</v>
      </c>
      <c r="E82" s="242">
        <f t="shared" si="5"/>
        <v>6405</v>
      </c>
      <c r="F82" s="242">
        <f t="shared" si="7"/>
        <v>6405</v>
      </c>
      <c r="G82" s="87"/>
    </row>
    <row r="83" spans="3:7" x14ac:dyDescent="0.2">
      <c r="C83" s="127">
        <v>22</v>
      </c>
      <c r="D83" s="243">
        <f t="shared" si="8"/>
        <v>160275</v>
      </c>
      <c r="E83" s="242">
        <f t="shared" si="5"/>
        <v>6405</v>
      </c>
      <c r="F83" s="242">
        <f t="shared" si="7"/>
        <v>6405</v>
      </c>
      <c r="G83" s="87"/>
    </row>
    <row r="84" spans="3:7" x14ac:dyDescent="0.2">
      <c r="C84" s="127">
        <v>23</v>
      </c>
      <c r="D84" s="243">
        <f t="shared" si="8"/>
        <v>166680</v>
      </c>
      <c r="E84" s="242">
        <f t="shared" si="5"/>
        <v>6405</v>
      </c>
      <c r="F84" s="242">
        <f t="shared" si="7"/>
        <v>6405</v>
      </c>
      <c r="G84" s="87"/>
    </row>
    <row r="85" spans="3:7" x14ac:dyDescent="0.2">
      <c r="C85" s="127">
        <v>24</v>
      </c>
      <c r="D85" s="243">
        <f t="shared" si="8"/>
        <v>173085</v>
      </c>
      <c r="E85" s="242">
        <f t="shared" si="5"/>
        <v>6405</v>
      </c>
      <c r="F85" s="242">
        <f t="shared" si="7"/>
        <v>6405</v>
      </c>
      <c r="G85" s="87"/>
    </row>
    <row r="86" spans="3:7" x14ac:dyDescent="0.2">
      <c r="C86" s="127">
        <v>25</v>
      </c>
      <c r="D86" s="243">
        <f t="shared" si="8"/>
        <v>179490</v>
      </c>
      <c r="E86" s="242">
        <f t="shared" si="5"/>
        <v>6405</v>
      </c>
      <c r="F86" s="242">
        <f t="shared" si="7"/>
        <v>6405</v>
      </c>
      <c r="G86" s="87"/>
    </row>
    <row r="87" spans="3:7" x14ac:dyDescent="0.2">
      <c r="C87" s="127">
        <v>26</v>
      </c>
      <c r="D87" s="243">
        <f t="shared" si="8"/>
        <v>185895</v>
      </c>
      <c r="E87" s="242">
        <f t="shared" si="5"/>
        <v>6405</v>
      </c>
      <c r="F87" s="242">
        <f t="shared" si="7"/>
        <v>6405</v>
      </c>
      <c r="G87" s="87"/>
    </row>
    <row r="88" spans="3:7" x14ac:dyDescent="0.2">
      <c r="C88" s="127">
        <v>27</v>
      </c>
      <c r="D88" s="243">
        <f t="shared" si="8"/>
        <v>192300</v>
      </c>
      <c r="E88" s="242">
        <f t="shared" si="5"/>
        <v>6405</v>
      </c>
      <c r="F88" s="242">
        <f t="shared" si="7"/>
        <v>6405</v>
      </c>
      <c r="G88" s="87"/>
    </row>
    <row r="89" spans="3:7" x14ac:dyDescent="0.2">
      <c r="C89" s="127">
        <v>28</v>
      </c>
      <c r="D89" s="243">
        <f t="shared" si="8"/>
        <v>198705</v>
      </c>
      <c r="E89" s="242">
        <f t="shared" si="5"/>
        <v>6405</v>
      </c>
      <c r="F89" s="242">
        <f t="shared" si="7"/>
        <v>6405</v>
      </c>
      <c r="G89" s="87"/>
    </row>
    <row r="90" spans="3:7" x14ac:dyDescent="0.2">
      <c r="C90" s="127">
        <v>29</v>
      </c>
      <c r="D90" s="243">
        <f t="shared" si="8"/>
        <v>205110</v>
      </c>
      <c r="E90" s="242">
        <f t="shared" si="5"/>
        <v>6405</v>
      </c>
      <c r="F90" s="242">
        <f t="shared" si="7"/>
        <v>6405</v>
      </c>
      <c r="G90" s="87"/>
    </row>
    <row r="91" spans="3:7" x14ac:dyDescent="0.2">
      <c r="C91" s="127">
        <v>30</v>
      </c>
      <c r="D91" s="243">
        <f t="shared" si="8"/>
        <v>211515</v>
      </c>
      <c r="E91" s="242">
        <f t="shared" si="5"/>
        <v>6405</v>
      </c>
      <c r="F91" s="242">
        <f t="shared" si="7"/>
        <v>6405</v>
      </c>
      <c r="G91" s="87"/>
    </row>
  </sheetData>
  <sheetProtection algorithmName="SHA-512" hashValue="Jeahy4roLQpEChTvgrLxkw1JjZeOIbVp0+kAQflon5ym60yVV+EStKrpdoJYMzd+fQPfSABt2Nnr1GpwZR+bsg==" saltValue="pZxDdnplmoAsEv3nWmT2b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toelichting</vt:lpstr>
      <vt:lpstr>faciliteiten bij fusie</vt:lpstr>
      <vt:lpstr>complete leerlingpopulatie</vt:lpstr>
      <vt:lpstr>berekeningen bij fusie</vt:lpstr>
      <vt:lpstr>faciliteiten bij opheffing</vt:lpstr>
      <vt:lpstr>bas met sbo</vt:lpstr>
      <vt:lpstr>tab</vt:lpstr>
      <vt:lpstr>'bas met sbo'!Afdrukbereik</vt:lpstr>
      <vt:lpstr>'berekeningen bij fusie'!Afdrukbereik</vt:lpstr>
      <vt:lpstr>'complete leerlingpopulatie'!Afdrukbereik</vt:lpstr>
      <vt:lpstr>'faciliteiten bij fusie'!Afdrukbereik</vt:lpstr>
      <vt:lpstr>'faciliteiten bij opheffing'!Afdrukbereik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B Keizer</cp:lastModifiedBy>
  <cp:lastPrinted>2018-09-01T17:13:32Z</cp:lastPrinted>
  <dcterms:created xsi:type="dcterms:W3CDTF">2000-03-25T21:08:55Z</dcterms:created>
  <dcterms:modified xsi:type="dcterms:W3CDTF">2018-09-23T16:15:40Z</dcterms:modified>
</cp:coreProperties>
</file>